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KCE\OsOK\28_6_2023_doplneni_dodatek_V3_V4\17_11_2023_aktualizace\PN vlaků\"/>
    </mc:Choice>
  </mc:AlternateContent>
  <xr:revisionPtr revIDLastSave="0" documentId="13_ncr:1_{51D1DE72-F748-43E9-8409-87257FB695DF}" xr6:coauthVersionLast="47" xr6:coauthVersionMax="47" xr10:uidLastSave="{00000000-0000-0000-0000-000000000000}"/>
  <workbookProtection workbookPassword="9028" lockStructure="1"/>
  <bookViews>
    <workbookView xWindow="32790" yWindow="1350" windowWidth="22170" windowHeight="11400" tabRatio="698" activeTab="2" xr2:uid="{00000000-000D-0000-FFFF-FFFF00000000}"/>
  </bookViews>
  <sheets>
    <sheet name="Úvodní list" sheetId="2" r:id="rId1"/>
    <sheet name="DATA" sheetId="7" r:id="rId2"/>
    <sheet name="Pořízení a provozuschopnost ŽKV" sheetId="4" r:id="rId3"/>
    <sheet name="Parametry jízdy vlaku" sheetId="3" r:id="rId4"/>
    <sheet name="Obsazení vlaku personálem" sheetId="5" r:id="rId5"/>
    <sheet name="SOUHRN PN VLAKŮ" sheetId="9" r:id="rId6"/>
    <sheet name="Katalog vozidel" sheetId="11" r:id="rId7"/>
  </sheets>
  <externalReferences>
    <externalReference r:id="rId8"/>
  </externalReferences>
  <definedNames>
    <definedName name="baterie">DATA!$C$33</definedName>
    <definedName name="cena_energie">DATA!$B$18:$C$22</definedName>
    <definedName name="Druh_vlaku">DATA!$B$26:$B$28</definedName>
    <definedName name="el.ss">DATA!$C$33:'DATA'!$C$33:$C$34</definedName>
    <definedName name="el.stř">DATA!$C$33:$C$34</definedName>
    <definedName name="hybridni">DATA!$C$34</definedName>
    <definedName name="motorová">DATA!$C$34</definedName>
    <definedName name="Profese">DATA!$I$6:$I$13</definedName>
    <definedName name="rekuperace">[1]DATA!$C$33:$C$34</definedName>
    <definedName name="Rychlost">DATA!$J$28:$J$33</definedName>
    <definedName name="Sklon">DATA!$J$25:$J$27</definedName>
    <definedName name="Trakce">DATA!$C$26:$C$30</definedName>
    <definedName name="vlak1">DATA!$I$6:$I$13</definedName>
    <definedName name="Zastaveni">DATA!$J$22:$J$24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3" l="1"/>
  <c r="I13" i="3" l="1"/>
  <c r="E13" i="3"/>
  <c r="C21" i="7" l="1"/>
  <c r="T6" i="5" l="1"/>
  <c r="D15" i="5"/>
  <c r="M33" i="3" l="1"/>
  <c r="R33" i="3"/>
  <c r="S33" i="3"/>
  <c r="T33" i="3"/>
  <c r="U33" i="3"/>
  <c r="V33" i="3"/>
  <c r="W33" i="3"/>
  <c r="X3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G38" i="7" l="1"/>
  <c r="F13" i="3" l="1"/>
  <c r="H13" i="3"/>
  <c r="R13" i="3"/>
  <c r="S13" i="3"/>
  <c r="T13" i="3"/>
  <c r="U13" i="3"/>
  <c r="V13" i="3"/>
  <c r="W13" i="3"/>
  <c r="X13" i="3"/>
  <c r="B22" i="7" l="1"/>
  <c r="E23" i="3"/>
  <c r="F30" i="3"/>
  <c r="F8" i="9" s="1"/>
  <c r="G30" i="3"/>
  <c r="G8" i="9" s="1"/>
  <c r="H30" i="3"/>
  <c r="H8" i="9" s="1"/>
  <c r="I30" i="3"/>
  <c r="I8" i="9" s="1"/>
  <c r="J30" i="3"/>
  <c r="J8" i="9" s="1"/>
  <c r="K30" i="3"/>
  <c r="K8" i="9" s="1"/>
  <c r="L30" i="3"/>
  <c r="L8" i="9" s="1"/>
  <c r="M30" i="3"/>
  <c r="N30" i="3"/>
  <c r="N8" i="9" s="1"/>
  <c r="O30" i="3"/>
  <c r="O8" i="9" s="1"/>
  <c r="P30" i="3"/>
  <c r="P8" i="9" s="1"/>
  <c r="Q30" i="3"/>
  <c r="Q8" i="9" s="1"/>
  <c r="R30" i="3"/>
  <c r="S30" i="3"/>
  <c r="S8" i="9"/>
  <c r="T30" i="3"/>
  <c r="U30" i="3"/>
  <c r="V30" i="3"/>
  <c r="W30" i="3"/>
  <c r="X30" i="3"/>
  <c r="E30" i="3"/>
  <c r="E8" i="9" s="1"/>
  <c r="F16" i="3"/>
  <c r="F12" i="9" s="1"/>
  <c r="G16" i="3"/>
  <c r="G12" i="9" s="1"/>
  <c r="H16" i="3"/>
  <c r="H17" i="3" s="1"/>
  <c r="H13" i="9" s="1"/>
  <c r="I16" i="3"/>
  <c r="I12" i="9" s="1"/>
  <c r="J16" i="3"/>
  <c r="J12" i="9" s="1"/>
  <c r="K16" i="3"/>
  <c r="K12" i="9" s="1"/>
  <c r="L16" i="3"/>
  <c r="L12" i="9" s="1"/>
  <c r="M16" i="3"/>
  <c r="M12" i="9" s="1"/>
  <c r="N16" i="3"/>
  <c r="N12" i="9" s="1"/>
  <c r="O16" i="3"/>
  <c r="O12" i="9" s="1"/>
  <c r="P16" i="3"/>
  <c r="P12" i="9" s="1"/>
  <c r="Q16" i="3"/>
  <c r="Q12" i="9" s="1"/>
  <c r="R16" i="3"/>
  <c r="R12" i="9" s="1"/>
  <c r="S16" i="3"/>
  <c r="S12" i="9" s="1"/>
  <c r="T16" i="3"/>
  <c r="T12" i="9" s="1"/>
  <c r="U16" i="3"/>
  <c r="U12" i="9" s="1"/>
  <c r="V16" i="3"/>
  <c r="V12" i="9" s="1"/>
  <c r="W16" i="3"/>
  <c r="X16" i="3"/>
  <c r="X12" i="9" s="1"/>
  <c r="R17" i="3"/>
  <c r="R13" i="9" s="1"/>
  <c r="S17" i="3"/>
  <c r="S13" i="9" s="1"/>
  <c r="T17" i="3"/>
  <c r="T13" i="9" s="1"/>
  <c r="U17" i="3"/>
  <c r="U13" i="9" s="1"/>
  <c r="V17" i="3"/>
  <c r="W17" i="3"/>
  <c r="W13" i="9" s="1"/>
  <c r="X17" i="3"/>
  <c r="X13" i="9" s="1"/>
  <c r="E16" i="3"/>
  <c r="E12" i="9" s="1"/>
  <c r="V13" i="9"/>
  <c r="E7" i="7"/>
  <c r="F7" i="7" s="1"/>
  <c r="J7" i="7" s="1"/>
  <c r="E8" i="7"/>
  <c r="E9" i="7"/>
  <c r="E10" i="7"/>
  <c r="E11" i="7"/>
  <c r="E12" i="7"/>
  <c r="E13" i="7"/>
  <c r="E6" i="7"/>
  <c r="R8" i="9"/>
  <c r="T8" i="9"/>
  <c r="V8" i="9"/>
  <c r="X8" i="9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X27" i="3"/>
  <c r="X25" i="3"/>
  <c r="W27" i="3"/>
  <c r="V24" i="3"/>
  <c r="U28" i="3"/>
  <c r="T24" i="3"/>
  <c r="S27" i="3"/>
  <c r="R27" i="3"/>
  <c r="Q25" i="3"/>
  <c r="P26" i="3"/>
  <c r="O26" i="3"/>
  <c r="N26" i="3"/>
  <c r="M24" i="3"/>
  <c r="L27" i="3"/>
  <c r="K24" i="3"/>
  <c r="J25" i="3"/>
  <c r="I25" i="3"/>
  <c r="H25" i="3"/>
  <c r="G28" i="3"/>
  <c r="F25" i="3"/>
  <c r="B21" i="7"/>
  <c r="B20" i="7"/>
  <c r="B19" i="7"/>
  <c r="B18" i="7"/>
  <c r="F10" i="7"/>
  <c r="J10" i="7" s="1"/>
  <c r="H7" i="9"/>
  <c r="U8" i="9"/>
  <c r="W8" i="9"/>
  <c r="M46" i="4"/>
  <c r="M18" i="9" s="1"/>
  <c r="R46" i="4"/>
  <c r="R18" i="9" s="1"/>
  <c r="S46" i="4"/>
  <c r="S18" i="9"/>
  <c r="T46" i="4"/>
  <c r="T18" i="9" s="1"/>
  <c r="U46" i="4"/>
  <c r="U18" i="9" s="1"/>
  <c r="V46" i="4"/>
  <c r="V18" i="9"/>
  <c r="W46" i="4"/>
  <c r="W18" i="9"/>
  <c r="X46" i="4"/>
  <c r="X18" i="9" s="1"/>
  <c r="M47" i="4"/>
  <c r="M17" i="9" s="1"/>
  <c r="R47" i="4"/>
  <c r="S47" i="4"/>
  <c r="S17" i="9" s="1"/>
  <c r="T47" i="4"/>
  <c r="T17" i="9"/>
  <c r="U47" i="4"/>
  <c r="U17" i="9"/>
  <c r="V47" i="4"/>
  <c r="V17" i="9" s="1"/>
  <c r="W47" i="4"/>
  <c r="W17" i="9" s="1"/>
  <c r="X47" i="4"/>
  <c r="X17" i="9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E50" i="4"/>
  <c r="E4" i="3"/>
  <c r="F4" i="3"/>
  <c r="L7" i="9"/>
  <c r="K7" i="9"/>
  <c r="T4" i="5"/>
  <c r="R19" i="9"/>
  <c r="R23" i="9" s="1"/>
  <c r="D9" i="5"/>
  <c r="F6" i="7"/>
  <c r="J6" i="7" s="1"/>
  <c r="F13" i="7"/>
  <c r="J13" i="7" s="1"/>
  <c r="F12" i="7"/>
  <c r="J12" i="7" s="1"/>
  <c r="F9" i="7"/>
  <c r="J9" i="7" s="1"/>
  <c r="F8" i="7"/>
  <c r="J8" i="7" s="1"/>
  <c r="K12" i="5" s="1"/>
  <c r="M7" i="9"/>
  <c r="M6" i="9"/>
  <c r="M5" i="9"/>
  <c r="N6" i="9"/>
  <c r="N5" i="9"/>
  <c r="O6" i="9"/>
  <c r="O5" i="9"/>
  <c r="P7" i="9"/>
  <c r="P6" i="9"/>
  <c r="P5" i="9"/>
  <c r="Q7" i="9"/>
  <c r="Q6" i="9"/>
  <c r="Q5" i="9"/>
  <c r="R7" i="9"/>
  <c r="R6" i="9"/>
  <c r="R5" i="9"/>
  <c r="S7" i="9"/>
  <c r="S6" i="9"/>
  <c r="S5" i="9"/>
  <c r="T7" i="9"/>
  <c r="T6" i="9"/>
  <c r="T5" i="9"/>
  <c r="U7" i="9"/>
  <c r="U6" i="9"/>
  <c r="U5" i="9"/>
  <c r="V7" i="9"/>
  <c r="V6" i="9"/>
  <c r="V5" i="9"/>
  <c r="W7" i="9"/>
  <c r="W6" i="9"/>
  <c r="W5" i="9"/>
  <c r="X7" i="9"/>
  <c r="X6" i="9"/>
  <c r="X5" i="9"/>
  <c r="L6" i="9"/>
  <c r="L5" i="9"/>
  <c r="K6" i="9"/>
  <c r="K5" i="9"/>
  <c r="J6" i="9"/>
  <c r="J5" i="9"/>
  <c r="I7" i="9"/>
  <c r="I6" i="9"/>
  <c r="I5" i="9"/>
  <c r="H6" i="9"/>
  <c r="H5" i="9"/>
  <c r="G7" i="9"/>
  <c r="G6" i="9"/>
  <c r="G5" i="9"/>
  <c r="F7" i="9"/>
  <c r="F6" i="9"/>
  <c r="F5" i="9"/>
  <c r="J7" i="9"/>
  <c r="W4" i="5"/>
  <c r="V4" i="5"/>
  <c r="U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E7" i="9"/>
  <c r="E6" i="9"/>
  <c r="E5" i="9"/>
  <c r="X4" i="9"/>
  <c r="X33" i="9" s="1"/>
  <c r="W4" i="9"/>
  <c r="W28" i="9" s="1"/>
  <c r="V4" i="9"/>
  <c r="V11" i="9"/>
  <c r="U4" i="9"/>
  <c r="U16" i="9" s="1"/>
  <c r="U28" i="9"/>
  <c r="T4" i="9"/>
  <c r="S4" i="9"/>
  <c r="S28" i="9" s="1"/>
  <c r="R4" i="9"/>
  <c r="R33" i="9"/>
  <c r="Q4" i="9"/>
  <c r="Q28" i="9" s="1"/>
  <c r="P4" i="9"/>
  <c r="O4" i="9"/>
  <c r="O11" i="9"/>
  <c r="N4" i="9"/>
  <c r="N33" i="9" s="1"/>
  <c r="M4" i="9"/>
  <c r="M33" i="9" s="1"/>
  <c r="L4" i="9"/>
  <c r="L16" i="9" s="1"/>
  <c r="K4" i="9"/>
  <c r="K33" i="9" s="1"/>
  <c r="J4" i="9"/>
  <c r="J28" i="9" s="1"/>
  <c r="I4" i="9"/>
  <c r="I11" i="9" s="1"/>
  <c r="H4" i="9"/>
  <c r="H28" i="9" s="1"/>
  <c r="G4" i="9"/>
  <c r="G28" i="9" s="1"/>
  <c r="F4" i="9"/>
  <c r="F16" i="9" s="1"/>
  <c r="E4" i="9"/>
  <c r="E11" i="9" s="1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E45" i="4"/>
  <c r="E40" i="4"/>
  <c r="F31" i="4"/>
  <c r="F55" i="4" s="1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W12" i="5"/>
  <c r="V12" i="5"/>
  <c r="U12" i="5"/>
  <c r="T12" i="5"/>
  <c r="S12" i="5"/>
  <c r="R12" i="5"/>
  <c r="Q12" i="5"/>
  <c r="P12" i="5"/>
  <c r="O12" i="5"/>
  <c r="N12" i="5"/>
  <c r="M12" i="5"/>
  <c r="L12" i="5"/>
  <c r="I12" i="5"/>
  <c r="H12" i="5"/>
  <c r="G12" i="5"/>
  <c r="F12" i="5"/>
  <c r="E12" i="5"/>
  <c r="D12" i="5"/>
  <c r="W9" i="5"/>
  <c r="V9" i="5"/>
  <c r="U9" i="5"/>
  <c r="T9" i="5"/>
  <c r="S9" i="5"/>
  <c r="R9" i="5"/>
  <c r="Q9" i="5"/>
  <c r="P9" i="5"/>
  <c r="N9" i="5"/>
  <c r="M9" i="5"/>
  <c r="L9" i="5"/>
  <c r="Q6" i="5"/>
  <c r="U6" i="5"/>
  <c r="V6" i="5"/>
  <c r="F11" i="7"/>
  <c r="J11" i="7" s="1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G30" i="4"/>
  <c r="G42" i="4" s="1"/>
  <c r="H30" i="4"/>
  <c r="H42" i="4" s="1"/>
  <c r="I30" i="4"/>
  <c r="I42" i="4" s="1"/>
  <c r="J30" i="4"/>
  <c r="J42" i="4" s="1"/>
  <c r="J47" i="4" s="1"/>
  <c r="J17" i="9" s="1"/>
  <c r="K30" i="4"/>
  <c r="K42" i="4" s="1"/>
  <c r="K47" i="4" s="1"/>
  <c r="K17" i="9" s="1"/>
  <c r="L30" i="4"/>
  <c r="L42" i="4" s="1"/>
  <c r="L47" i="4" s="1"/>
  <c r="L17" i="9" s="1"/>
  <c r="M30" i="4"/>
  <c r="M42" i="4" s="1"/>
  <c r="N30" i="4"/>
  <c r="N42" i="4" s="1"/>
  <c r="N47" i="4" s="1"/>
  <c r="N17" i="9" s="1"/>
  <c r="O30" i="4"/>
  <c r="O42" i="4" s="1"/>
  <c r="O47" i="4" s="1"/>
  <c r="O17" i="9" s="1"/>
  <c r="P30" i="4"/>
  <c r="P42" i="4" s="1"/>
  <c r="P47" i="4" s="1"/>
  <c r="P17" i="9" s="1"/>
  <c r="Q30" i="4"/>
  <c r="Q42" i="4" s="1"/>
  <c r="Q47" i="4" s="1"/>
  <c r="Q17" i="9" s="1"/>
  <c r="R30" i="4"/>
  <c r="R42" i="4" s="1"/>
  <c r="R17" i="9"/>
  <c r="S30" i="4"/>
  <c r="S42" i="4" s="1"/>
  <c r="T30" i="4"/>
  <c r="T42" i="4"/>
  <c r="U30" i="4"/>
  <c r="U42" i="4"/>
  <c r="V30" i="4"/>
  <c r="V42" i="4"/>
  <c r="W30" i="4"/>
  <c r="W42" i="4" s="1"/>
  <c r="X30" i="4"/>
  <c r="X42" i="4"/>
  <c r="G31" i="4"/>
  <c r="G41" i="4" s="1"/>
  <c r="H31" i="4"/>
  <c r="H80" i="4" s="1"/>
  <c r="I31" i="4"/>
  <c r="I60" i="4" s="1"/>
  <c r="J31" i="4"/>
  <c r="J41" i="4" s="1"/>
  <c r="K31" i="4"/>
  <c r="K65" i="4" s="1"/>
  <c r="L31" i="4"/>
  <c r="L41" i="4" s="1"/>
  <c r="L46" i="4" s="1"/>
  <c r="L18" i="9" s="1"/>
  <c r="M31" i="4"/>
  <c r="M78" i="4" s="1"/>
  <c r="N31" i="4"/>
  <c r="N55" i="4" s="1"/>
  <c r="O31" i="4"/>
  <c r="O74" i="4" s="1"/>
  <c r="P31" i="4"/>
  <c r="P77" i="4" s="1"/>
  <c r="Q31" i="4"/>
  <c r="Q76" i="4" s="1"/>
  <c r="R31" i="4"/>
  <c r="R73" i="4" s="1"/>
  <c r="R63" i="4"/>
  <c r="S31" i="4"/>
  <c r="T31" i="4"/>
  <c r="T59" i="4" s="1"/>
  <c r="U31" i="4"/>
  <c r="U76" i="4" s="1"/>
  <c r="V31" i="4"/>
  <c r="V55" i="4" s="1"/>
  <c r="W31" i="4"/>
  <c r="W66" i="4" s="1"/>
  <c r="X31" i="4"/>
  <c r="X72" i="4" s="1"/>
  <c r="X65" i="4"/>
  <c r="F30" i="4"/>
  <c r="F42" i="4" s="1"/>
  <c r="F47" i="4" s="1"/>
  <c r="F17" i="9" s="1"/>
  <c r="E31" i="4"/>
  <c r="E56" i="4" s="1"/>
  <c r="E30" i="4"/>
  <c r="E42" i="4" s="1"/>
  <c r="O7" i="9"/>
  <c r="W56" i="4"/>
  <c r="R69" i="4"/>
  <c r="T73" i="4"/>
  <c r="R79" i="4"/>
  <c r="T78" i="4"/>
  <c r="W67" i="4"/>
  <c r="W68" i="4"/>
  <c r="W80" i="4"/>
  <c r="W69" i="4"/>
  <c r="T67" i="4"/>
  <c r="T79" i="4"/>
  <c r="X71" i="4"/>
  <c r="Q73" i="4"/>
  <c r="Q74" i="4"/>
  <c r="X52" i="4"/>
  <c r="X53" i="4"/>
  <c r="T57" i="4"/>
  <c r="W64" i="4"/>
  <c r="N7" i="9"/>
  <c r="M19" i="9"/>
  <c r="M23" i="9" s="1"/>
  <c r="X19" i="9"/>
  <c r="X23" i="9" s="1"/>
  <c r="S19" i="9"/>
  <c r="S6" i="5"/>
  <c r="T19" i="9"/>
  <c r="T23" i="9" s="1"/>
  <c r="J12" i="5"/>
  <c r="W6" i="5"/>
  <c r="U19" i="9"/>
  <c r="U23" i="9" s="1"/>
  <c r="L6" i="5"/>
  <c r="R6" i="5"/>
  <c r="U72" i="4"/>
  <c r="U74" i="4"/>
  <c r="U65" i="4"/>
  <c r="R70" i="4"/>
  <c r="R54" i="4"/>
  <c r="R76" i="4"/>
  <c r="R52" i="4"/>
  <c r="R51" i="4"/>
  <c r="R62" i="4"/>
  <c r="V66" i="4"/>
  <c r="R58" i="4"/>
  <c r="X78" i="4"/>
  <c r="X77" i="4"/>
  <c r="X63" i="4"/>
  <c r="X69" i="4"/>
  <c r="X73" i="4"/>
  <c r="T71" i="4"/>
  <c r="T53" i="4"/>
  <c r="X70" i="4"/>
  <c r="T65" i="4"/>
  <c r="T63" i="4"/>
  <c r="X55" i="4"/>
  <c r="T74" i="4"/>
  <c r="T55" i="4"/>
  <c r="T76" i="4"/>
  <c r="T68" i="4"/>
  <c r="X75" i="4"/>
  <c r="X76" i="4"/>
  <c r="X67" i="4"/>
  <c r="X59" i="4"/>
  <c r="Q70" i="4"/>
  <c r="Q66" i="4"/>
  <c r="Q62" i="4"/>
  <c r="T66" i="4"/>
  <c r="X60" i="4"/>
  <c r="T56" i="4"/>
  <c r="T54" i="4"/>
  <c r="X64" i="4"/>
  <c r="T72" i="4"/>
  <c r="T51" i="4"/>
  <c r="T62" i="4"/>
  <c r="T52" i="4"/>
  <c r="T70" i="4"/>
  <c r="T61" i="4"/>
  <c r="X56" i="4"/>
  <c r="N56" i="4"/>
  <c r="Q55" i="4"/>
  <c r="Q61" i="4"/>
  <c r="Q56" i="4"/>
  <c r="X74" i="4"/>
  <c r="T77" i="4"/>
  <c r="X57" i="4"/>
  <c r="X62" i="4"/>
  <c r="T60" i="4"/>
  <c r="P72" i="4"/>
  <c r="X79" i="4"/>
  <c r="T64" i="4"/>
  <c r="X66" i="4"/>
  <c r="X54" i="4"/>
  <c r="X68" i="4"/>
  <c r="X61" i="4"/>
  <c r="X51" i="4"/>
  <c r="Q79" i="4"/>
  <c r="T58" i="4"/>
  <c r="T75" i="4"/>
  <c r="X58" i="4"/>
  <c r="Q54" i="4"/>
  <c r="P51" i="4"/>
  <c r="R16" i="9"/>
  <c r="M52" i="4"/>
  <c r="W65" i="4"/>
  <c r="W59" i="4"/>
  <c r="W77" i="4"/>
  <c r="W63" i="4"/>
  <c r="W74" i="4"/>
  <c r="U77" i="4"/>
  <c r="T41" i="4"/>
  <c r="S77" i="4"/>
  <c r="S51" i="4"/>
  <c r="M63" i="4"/>
  <c r="W51" i="4"/>
  <c r="W75" i="4"/>
  <c r="Q51" i="4"/>
  <c r="W53" i="4"/>
  <c r="U61" i="4"/>
  <c r="T69" i="4"/>
  <c r="Q80" i="4"/>
  <c r="W78" i="4"/>
  <c r="W62" i="4"/>
  <c r="W76" i="4"/>
  <c r="W57" i="4"/>
  <c r="U59" i="4"/>
  <c r="Q53" i="4"/>
  <c r="X41" i="4"/>
  <c r="U58" i="4"/>
  <c r="X80" i="4"/>
  <c r="Q77" i="4"/>
  <c r="W72" i="4"/>
  <c r="W55" i="4"/>
  <c r="W58" i="4"/>
  <c r="W52" i="4"/>
  <c r="U57" i="4"/>
  <c r="Q52" i="4"/>
  <c r="U80" i="4"/>
  <c r="W41" i="4"/>
  <c r="S53" i="4"/>
  <c r="U51" i="4"/>
  <c r="U63" i="4"/>
  <c r="W70" i="4"/>
  <c r="W79" i="4"/>
  <c r="W71" i="4"/>
  <c r="W73" i="4"/>
  <c r="U75" i="4"/>
  <c r="W54" i="4"/>
  <c r="N11" i="9"/>
  <c r="V16" i="9"/>
  <c r="N16" i="9"/>
  <c r="T28" i="9"/>
  <c r="S33" i="9"/>
  <c r="O33" i="9"/>
  <c r="Q11" i="9"/>
  <c r="P28" i="9"/>
  <c r="I28" i="9"/>
  <c r="S16" i="9"/>
  <c r="W11" i="9"/>
  <c r="S11" i="9"/>
  <c r="Q16" i="9"/>
  <c r="U11" i="9"/>
  <c r="M11" i="9"/>
  <c r="M16" i="9"/>
  <c r="O16" i="9"/>
  <c r="O28" i="9"/>
  <c r="U33" i="9"/>
  <c r="W33" i="9"/>
  <c r="W16" i="9"/>
  <c r="X16" i="9"/>
  <c r="H16" i="9"/>
  <c r="T11" i="9"/>
  <c r="X28" i="9"/>
  <c r="V33" i="9"/>
  <c r="R11" i="9"/>
  <c r="H33" i="9"/>
  <c r="N28" i="9"/>
  <c r="H11" i="9"/>
  <c r="R28" i="9"/>
  <c r="V28" i="9"/>
  <c r="X11" i="9"/>
  <c r="T27" i="3"/>
  <c r="K28" i="3"/>
  <c r="S76" i="4"/>
  <c r="S58" i="4"/>
  <c r="S72" i="4"/>
  <c r="S71" i="4"/>
  <c r="S69" i="4"/>
  <c r="S64" i="4"/>
  <c r="S56" i="4"/>
  <c r="S73" i="4"/>
  <c r="S61" i="4"/>
  <c r="S75" i="4"/>
  <c r="S62" i="4"/>
  <c r="S55" i="4"/>
  <c r="S66" i="4"/>
  <c r="S52" i="4"/>
  <c r="S68" i="4"/>
  <c r="S67" i="4"/>
  <c r="S65" i="4"/>
  <c r="S70" i="4"/>
  <c r="S54" i="4"/>
  <c r="S60" i="4"/>
  <c r="S59" i="4"/>
  <c r="S79" i="4"/>
  <c r="T16" i="9"/>
  <c r="T33" i="9"/>
  <c r="L26" i="3"/>
  <c r="S57" i="4"/>
  <c r="K25" i="3"/>
  <c r="I33" i="9"/>
  <c r="I16" i="9"/>
  <c r="S74" i="4"/>
  <c r="S63" i="4"/>
  <c r="H74" i="4"/>
  <c r="F75" i="4"/>
  <c r="F69" i="4"/>
  <c r="P11" i="9"/>
  <c r="P16" i="9"/>
  <c r="P33" i="9"/>
  <c r="S80" i="4"/>
  <c r="S78" i="4"/>
  <c r="S41" i="4"/>
  <c r="V58" i="4"/>
  <c r="V79" i="4"/>
  <c r="V69" i="4"/>
  <c r="V65" i="4"/>
  <c r="R57" i="4"/>
  <c r="R68" i="4"/>
  <c r="R75" i="4"/>
  <c r="R67" i="4"/>
  <c r="R74" i="4"/>
  <c r="R61" i="4"/>
  <c r="R78" i="4"/>
  <c r="R65" i="4"/>
  <c r="R64" i="4"/>
  <c r="R55" i="4"/>
  <c r="U79" i="4"/>
  <c r="R41" i="4"/>
  <c r="P53" i="4"/>
  <c r="P75" i="4"/>
  <c r="R60" i="4"/>
  <c r="R66" i="4"/>
  <c r="R59" i="4"/>
  <c r="V73" i="4"/>
  <c r="U53" i="4"/>
  <c r="U78" i="4"/>
  <c r="R56" i="4"/>
  <c r="V57" i="4"/>
  <c r="R71" i="4"/>
  <c r="P69" i="4"/>
  <c r="P52" i="4"/>
  <c r="P63" i="4"/>
  <c r="P70" i="4"/>
  <c r="P62" i="4"/>
  <c r="P78" i="4"/>
  <c r="P57" i="4"/>
  <c r="P56" i="4"/>
  <c r="P59" i="4"/>
  <c r="P71" i="4"/>
  <c r="P74" i="4"/>
  <c r="P66" i="4"/>
  <c r="P65" i="4"/>
  <c r="P60" i="4"/>
  <c r="P76" i="4"/>
  <c r="R80" i="4"/>
  <c r="R53" i="4"/>
  <c r="R72" i="4"/>
  <c r="W26" i="3"/>
  <c r="G24" i="3"/>
  <c r="U24" i="3"/>
  <c r="V25" i="3"/>
  <c r="V28" i="3"/>
  <c r="U26" i="3"/>
  <c r="V27" i="3"/>
  <c r="S26" i="3"/>
  <c r="V26" i="3"/>
  <c r="X24" i="3"/>
  <c r="S28" i="3"/>
  <c r="Q28" i="3"/>
  <c r="M8" i="9"/>
  <c r="S24" i="3"/>
  <c r="W19" i="9"/>
  <c r="W23" i="9" s="1"/>
  <c r="V19" i="9"/>
  <c r="V23" i="9" s="1"/>
  <c r="W12" i="9"/>
  <c r="E16" i="9" l="1"/>
  <c r="E33" i="9"/>
  <c r="E28" i="9"/>
  <c r="L52" i="4"/>
  <c r="L79" i="4"/>
  <c r="E47" i="4"/>
  <c r="E17" i="9" s="1"/>
  <c r="K80" i="4"/>
  <c r="K52" i="4"/>
  <c r="K11" i="9"/>
  <c r="I47" i="4"/>
  <c r="I17" i="9" s="1"/>
  <c r="J33" i="9"/>
  <c r="M79" i="4"/>
  <c r="M76" i="4"/>
  <c r="M75" i="4"/>
  <c r="M51" i="4"/>
  <c r="M71" i="4"/>
  <c r="M62" i="4"/>
  <c r="M72" i="4"/>
  <c r="M65" i="4"/>
  <c r="M55" i="4"/>
  <c r="M59" i="4"/>
  <c r="M70" i="4"/>
  <c r="M54" i="4"/>
  <c r="M67" i="4"/>
  <c r="M74" i="4"/>
  <c r="M57" i="4"/>
  <c r="M58" i="4"/>
  <c r="M68" i="4"/>
  <c r="M60" i="4"/>
  <c r="M69" i="4"/>
  <c r="M77" i="4"/>
  <c r="M73" i="4"/>
  <c r="M61" i="4"/>
  <c r="F68" i="4"/>
  <c r="F78" i="4"/>
  <c r="E66" i="4"/>
  <c r="F80" i="4"/>
  <c r="F62" i="4"/>
  <c r="E75" i="4"/>
  <c r="F73" i="4"/>
  <c r="F41" i="4"/>
  <c r="F46" i="4" s="1"/>
  <c r="F18" i="9" s="1"/>
  <c r="E65" i="4"/>
  <c r="F60" i="4"/>
  <c r="E72" i="4"/>
  <c r="F58" i="4"/>
  <c r="E71" i="4"/>
  <c r="E76" i="4"/>
  <c r="F65" i="4"/>
  <c r="F76" i="4"/>
  <c r="E61" i="4"/>
  <c r="E51" i="4"/>
  <c r="F57" i="4"/>
  <c r="F51" i="4"/>
  <c r="E62" i="4"/>
  <c r="F70" i="4"/>
  <c r="F63" i="4"/>
  <c r="J46" i="4"/>
  <c r="J18" i="9" s="1"/>
  <c r="J11" i="9"/>
  <c r="J16" i="9"/>
  <c r="F33" i="9"/>
  <c r="F11" i="9"/>
  <c r="F28" i="9"/>
  <c r="P79" i="4"/>
  <c r="P73" i="4"/>
  <c r="P54" i="4"/>
  <c r="P58" i="4"/>
  <c r="M41" i="4"/>
  <c r="P55" i="4"/>
  <c r="P61" i="4"/>
  <c r="P64" i="4"/>
  <c r="P41" i="4"/>
  <c r="P46" i="4" s="1"/>
  <c r="P18" i="9" s="1"/>
  <c r="P67" i="4"/>
  <c r="P80" i="4"/>
  <c r="G47" i="4"/>
  <c r="G17" i="9" s="1"/>
  <c r="G46" i="4"/>
  <c r="G18" i="9" s="1"/>
  <c r="H47" i="4"/>
  <c r="H17" i="9" s="1"/>
  <c r="Q33" i="9"/>
  <c r="Q58" i="4"/>
  <c r="Q63" i="4"/>
  <c r="Q72" i="4"/>
  <c r="Q41" i="4"/>
  <c r="Q69" i="4"/>
  <c r="Q59" i="4"/>
  <c r="Q67" i="4"/>
  <c r="Q68" i="4"/>
  <c r="Q75" i="4"/>
  <c r="Q71" i="4"/>
  <c r="Q64" i="4"/>
  <c r="Q65" i="4"/>
  <c r="Q60" i="4"/>
  <c r="Q78" i="4"/>
  <c r="G16" i="9"/>
  <c r="G11" i="9"/>
  <c r="G33" i="9"/>
  <c r="K41" i="4"/>
  <c r="K46" i="4" s="1"/>
  <c r="K18" i="9" s="1"/>
  <c r="K53" i="4"/>
  <c r="K68" i="4"/>
  <c r="K79" i="4"/>
  <c r="K16" i="9"/>
  <c r="K28" i="9"/>
  <c r="J71" i="4"/>
  <c r="K55" i="4"/>
  <c r="K61" i="4"/>
  <c r="K66" i="4"/>
  <c r="K59" i="4"/>
  <c r="K63" i="4"/>
  <c r="J70" i="4"/>
  <c r="K76" i="4"/>
  <c r="K51" i="4"/>
  <c r="K54" i="4"/>
  <c r="E41" i="4"/>
  <c r="E46" i="4" s="1"/>
  <c r="E18" i="9" s="1"/>
  <c r="E69" i="4"/>
  <c r="H69" i="4"/>
  <c r="H59" i="4"/>
  <c r="H77" i="4"/>
  <c r="H55" i="4"/>
  <c r="W60" i="4"/>
  <c r="F56" i="4"/>
  <c r="T80" i="4"/>
  <c r="P68" i="4"/>
  <c r="V75" i="4"/>
  <c r="V61" i="4"/>
  <c r="V53" i="4"/>
  <c r="V51" i="4"/>
  <c r="H70" i="4"/>
  <c r="H64" i="4"/>
  <c r="H75" i="4"/>
  <c r="L11" i="9"/>
  <c r="H68" i="4"/>
  <c r="H76" i="4"/>
  <c r="H56" i="4"/>
  <c r="V80" i="4"/>
  <c r="V68" i="4"/>
  <c r="V67" i="4"/>
  <c r="H53" i="4"/>
  <c r="H54" i="4"/>
  <c r="V74" i="4"/>
  <c r="H57" i="4"/>
  <c r="H61" i="4"/>
  <c r="U64" i="4"/>
  <c r="U55" i="4"/>
  <c r="V72" i="4"/>
  <c r="H71" i="4"/>
  <c r="F64" i="4"/>
  <c r="F67" i="4"/>
  <c r="H73" i="4"/>
  <c r="H60" i="4"/>
  <c r="H79" i="4"/>
  <c r="U66" i="4"/>
  <c r="U62" i="4"/>
  <c r="U73" i="4"/>
  <c r="F77" i="4"/>
  <c r="U56" i="4"/>
  <c r="V76" i="4"/>
  <c r="V70" i="4"/>
  <c r="U60" i="4"/>
  <c r="V54" i="4"/>
  <c r="R77" i="4"/>
  <c r="V77" i="4"/>
  <c r="V62" i="4"/>
  <c r="F52" i="4"/>
  <c r="F61" i="4"/>
  <c r="F74" i="4"/>
  <c r="H52" i="4"/>
  <c r="H65" i="4"/>
  <c r="H41" i="4"/>
  <c r="L64" i="4"/>
  <c r="L33" i="9"/>
  <c r="M53" i="4"/>
  <c r="M64" i="4"/>
  <c r="U70" i="4"/>
  <c r="M56" i="4"/>
  <c r="U67" i="4"/>
  <c r="U69" i="4"/>
  <c r="H51" i="4"/>
  <c r="U68" i="4"/>
  <c r="V52" i="4"/>
  <c r="M66" i="4"/>
  <c r="E70" i="4"/>
  <c r="W61" i="4"/>
  <c r="J66" i="4"/>
  <c r="V71" i="4"/>
  <c r="V63" i="4"/>
  <c r="H62" i="4"/>
  <c r="H78" i="4"/>
  <c r="H63" i="4"/>
  <c r="H72" i="4"/>
  <c r="H66" i="4"/>
  <c r="L28" i="9"/>
  <c r="V78" i="4"/>
  <c r="V60" i="4"/>
  <c r="V59" i="4"/>
  <c r="V64" i="4"/>
  <c r="H58" i="4"/>
  <c r="H67" i="4"/>
  <c r="L65" i="4"/>
  <c r="M28" i="9"/>
  <c r="U52" i="4"/>
  <c r="U54" i="4"/>
  <c r="U71" i="4"/>
  <c r="V56" i="4"/>
  <c r="M80" i="4"/>
  <c r="V41" i="4"/>
  <c r="U41" i="4"/>
  <c r="F71" i="4"/>
  <c r="K58" i="4"/>
  <c r="Q46" i="4"/>
  <c r="Q18" i="9" s="1"/>
  <c r="H46" i="4"/>
  <c r="H18" i="9" s="1"/>
  <c r="Q57" i="4"/>
  <c r="N63" i="4"/>
  <c r="N52" i="4"/>
  <c r="N75" i="4"/>
  <c r="N67" i="4"/>
  <c r="O52" i="4"/>
  <c r="O77" i="4"/>
  <c r="O73" i="4"/>
  <c r="O71" i="4"/>
  <c r="O66" i="4"/>
  <c r="O54" i="4"/>
  <c r="O80" i="4"/>
  <c r="O69" i="4"/>
  <c r="O56" i="4"/>
  <c r="O64" i="4"/>
  <c r="O61" i="4"/>
  <c r="O79" i="4"/>
  <c r="O65" i="4"/>
  <c r="O67" i="4"/>
  <c r="O68" i="4"/>
  <c r="O41" i="4"/>
  <c r="O46" i="4" s="1"/>
  <c r="O18" i="9" s="1"/>
  <c r="O51" i="4"/>
  <c r="O59" i="4"/>
  <c r="O72" i="4"/>
  <c r="O75" i="4"/>
  <c r="O55" i="4"/>
  <c r="O70" i="4"/>
  <c r="O78" i="4"/>
  <c r="O57" i="4"/>
  <c r="O53" i="4"/>
  <c r="O62" i="4"/>
  <c r="O76" i="4"/>
  <c r="O58" i="4"/>
  <c r="O63" i="4"/>
  <c r="O60" i="4"/>
  <c r="N53" i="4"/>
  <c r="N77" i="4"/>
  <c r="N73" i="4"/>
  <c r="N64" i="4"/>
  <c r="N60" i="4"/>
  <c r="N79" i="4"/>
  <c r="N57" i="4"/>
  <c r="N58" i="4"/>
  <c r="N66" i="4"/>
  <c r="N72" i="4"/>
  <c r="N69" i="4"/>
  <c r="N65" i="4"/>
  <c r="N78" i="4"/>
  <c r="N80" i="4"/>
  <c r="N61" i="4"/>
  <c r="N41" i="4"/>
  <c r="N46" i="4" s="1"/>
  <c r="N18" i="9" s="1"/>
  <c r="N54" i="4"/>
  <c r="N71" i="4"/>
  <c r="N70" i="4"/>
  <c r="N62" i="4"/>
  <c r="N68" i="4"/>
  <c r="N76" i="4"/>
  <c r="N74" i="4"/>
  <c r="N59" i="4"/>
  <c r="N51" i="4"/>
  <c r="L72" i="4"/>
  <c r="L56" i="4"/>
  <c r="L63" i="4"/>
  <c r="L74" i="4"/>
  <c r="L54" i="4"/>
  <c r="L51" i="4"/>
  <c r="L77" i="4"/>
  <c r="L62" i="4"/>
  <c r="L68" i="4"/>
  <c r="L61" i="4"/>
  <c r="L76" i="4"/>
  <c r="L57" i="4"/>
  <c r="L53" i="4"/>
  <c r="L70" i="4"/>
  <c r="L69" i="4"/>
  <c r="L78" i="4"/>
  <c r="L59" i="4"/>
  <c r="L80" i="4"/>
  <c r="L75" i="4"/>
  <c r="L67" i="4"/>
  <c r="L73" i="4"/>
  <c r="L71" i="4"/>
  <c r="L58" i="4"/>
  <c r="L60" i="4"/>
  <c r="L55" i="4"/>
  <c r="L66" i="4"/>
  <c r="K77" i="4"/>
  <c r="K57" i="4"/>
  <c r="K62" i="4"/>
  <c r="K70" i="4"/>
  <c r="K60" i="4"/>
  <c r="K73" i="4"/>
  <c r="K69" i="4"/>
  <c r="K71" i="4"/>
  <c r="K56" i="4"/>
  <c r="K64" i="4"/>
  <c r="K74" i="4"/>
  <c r="K72" i="4"/>
  <c r="K75" i="4"/>
  <c r="K67" i="4"/>
  <c r="K78" i="4"/>
  <c r="J60" i="4"/>
  <c r="J63" i="4"/>
  <c r="J65" i="4"/>
  <c r="J61" i="4"/>
  <c r="J78" i="4"/>
  <c r="J52" i="4"/>
  <c r="J74" i="4"/>
  <c r="J67" i="4"/>
  <c r="J68" i="4"/>
  <c r="J58" i="4"/>
  <c r="J69" i="4"/>
  <c r="J76" i="4"/>
  <c r="J75" i="4"/>
  <c r="J54" i="4"/>
  <c r="J51" i="4"/>
  <c r="J62" i="4"/>
  <c r="J56" i="4"/>
  <c r="J64" i="4"/>
  <c r="J72" i="4"/>
  <c r="J59" i="4"/>
  <c r="J80" i="4"/>
  <c r="J73" i="4"/>
  <c r="J55" i="4"/>
  <c r="J57" i="4"/>
  <c r="J53" i="4"/>
  <c r="J77" i="4"/>
  <c r="J79" i="4"/>
  <c r="I55" i="4"/>
  <c r="I69" i="4"/>
  <c r="I80" i="4"/>
  <c r="I70" i="4"/>
  <c r="I65" i="4"/>
  <c r="I79" i="4"/>
  <c r="I59" i="4"/>
  <c r="I72" i="4"/>
  <c r="I58" i="4"/>
  <c r="I78" i="4"/>
  <c r="I67" i="4"/>
  <c r="I53" i="4"/>
  <c r="I41" i="4"/>
  <c r="I46" i="4" s="1"/>
  <c r="I18" i="9" s="1"/>
  <c r="I52" i="4"/>
  <c r="I76" i="4"/>
  <c r="I56" i="4"/>
  <c r="I66" i="4"/>
  <c r="I63" i="4"/>
  <c r="I54" i="4"/>
  <c r="I75" i="4"/>
  <c r="I77" i="4"/>
  <c r="I71" i="4"/>
  <c r="I62" i="4"/>
  <c r="I73" i="4"/>
  <c r="I57" i="4"/>
  <c r="I51" i="4"/>
  <c r="I68" i="4"/>
  <c r="I61" i="4"/>
  <c r="I74" i="4"/>
  <c r="I64" i="4"/>
  <c r="G59" i="4"/>
  <c r="G63" i="4"/>
  <c r="G52" i="4"/>
  <c r="G53" i="4"/>
  <c r="G70" i="4"/>
  <c r="G76" i="4"/>
  <c r="G79" i="4"/>
  <c r="G80" i="4"/>
  <c r="G51" i="4"/>
  <c r="G61" i="4"/>
  <c r="G56" i="4"/>
  <c r="G64" i="4"/>
  <c r="G62" i="4"/>
  <c r="G71" i="4"/>
  <c r="G68" i="4"/>
  <c r="G54" i="4"/>
  <c r="G58" i="4"/>
  <c r="G72" i="4"/>
  <c r="G78" i="4"/>
  <c r="G60" i="4"/>
  <c r="G67" i="4"/>
  <c r="G66" i="4"/>
  <c r="G69" i="4"/>
  <c r="G73" i="4"/>
  <c r="G57" i="4"/>
  <c r="G55" i="4"/>
  <c r="G65" i="4"/>
  <c r="G77" i="4"/>
  <c r="G74" i="4"/>
  <c r="G75" i="4"/>
  <c r="F79" i="4"/>
  <c r="F54" i="4"/>
  <c r="F72" i="4"/>
  <c r="F66" i="4"/>
  <c r="F53" i="4"/>
  <c r="F59" i="4"/>
  <c r="E80" i="4"/>
  <c r="E59" i="4"/>
  <c r="E63" i="4"/>
  <c r="E74" i="4"/>
  <c r="E78" i="4"/>
  <c r="E68" i="4"/>
  <c r="E73" i="4"/>
  <c r="E52" i="4"/>
  <c r="E55" i="4"/>
  <c r="E67" i="4"/>
  <c r="E53" i="4"/>
  <c r="E58" i="4"/>
  <c r="E77" i="4"/>
  <c r="E57" i="4"/>
  <c r="E79" i="4"/>
  <c r="E54" i="4"/>
  <c r="E60" i="4"/>
  <c r="E64" i="4"/>
  <c r="L20" i="5"/>
  <c r="M20" i="9" s="1"/>
  <c r="M21" i="9" s="1"/>
  <c r="M22" i="9" s="1"/>
  <c r="I6" i="5"/>
  <c r="J6" i="5"/>
  <c r="E6" i="5"/>
  <c r="K6" i="5"/>
  <c r="H9" i="5"/>
  <c r="J9" i="5"/>
  <c r="I9" i="5"/>
  <c r="E9" i="5"/>
  <c r="S20" i="5"/>
  <c r="T20" i="9" s="1"/>
  <c r="T21" i="9" s="1"/>
  <c r="O9" i="5"/>
  <c r="N6" i="5"/>
  <c r="N20" i="5" s="1"/>
  <c r="O20" i="9" s="1"/>
  <c r="O6" i="5"/>
  <c r="M6" i="5"/>
  <c r="M20" i="5" s="1"/>
  <c r="N20" i="9" s="1"/>
  <c r="P6" i="5"/>
  <c r="P20" i="5" s="1"/>
  <c r="Q20" i="9" s="1"/>
  <c r="Q21" i="9" s="1"/>
  <c r="Q22" i="9" s="1"/>
  <c r="H6" i="5"/>
  <c r="F6" i="5"/>
  <c r="K9" i="5"/>
  <c r="G9" i="5"/>
  <c r="U20" i="5"/>
  <c r="V20" i="9" s="1"/>
  <c r="V21" i="9" s="1"/>
  <c r="V22" i="9" s="1"/>
  <c r="V29" i="9" s="1"/>
  <c r="V20" i="5"/>
  <c r="W20" i="9" s="1"/>
  <c r="W21" i="9" s="1"/>
  <c r="W22" i="9" s="1"/>
  <c r="D6" i="5"/>
  <c r="D20" i="5" s="1"/>
  <c r="E20" i="9" s="1"/>
  <c r="E21" i="9" s="1"/>
  <c r="G6" i="5"/>
  <c r="F9" i="5"/>
  <c r="J17" i="3"/>
  <c r="J13" i="9" s="1"/>
  <c r="F17" i="3"/>
  <c r="F13" i="9" s="1"/>
  <c r="H28" i="3"/>
  <c r="I28" i="3"/>
  <c r="M26" i="3"/>
  <c r="P27" i="3"/>
  <c r="L24" i="3"/>
  <c r="E27" i="3"/>
  <c r="E25" i="3"/>
  <c r="O27" i="3"/>
  <c r="N25" i="3"/>
  <c r="O24" i="3"/>
  <c r="H12" i="9"/>
  <c r="K27" i="3"/>
  <c r="O28" i="3"/>
  <c r="G26" i="3"/>
  <c r="I17" i="3"/>
  <c r="I13" i="9" s="1"/>
  <c r="L25" i="3"/>
  <c r="G25" i="3"/>
  <c r="G27" i="3"/>
  <c r="F24" i="3"/>
  <c r="O17" i="3"/>
  <c r="O13" i="9" s="1"/>
  <c r="L17" i="3"/>
  <c r="L13" i="9" s="1"/>
  <c r="G17" i="3"/>
  <c r="G13" i="9" s="1"/>
  <c r="N17" i="3"/>
  <c r="N13" i="9" s="1"/>
  <c r="Q17" i="3"/>
  <c r="Q13" i="9" s="1"/>
  <c r="M17" i="3"/>
  <c r="M13" i="9" s="1"/>
  <c r="M36" i="9" s="1"/>
  <c r="P17" i="3"/>
  <c r="P13" i="9" s="1"/>
  <c r="K17" i="3"/>
  <c r="K13" i="9" s="1"/>
  <c r="V29" i="3"/>
  <c r="V31" i="3" s="1"/>
  <c r="T25" i="3"/>
  <c r="T36" i="9"/>
  <c r="W24" i="3"/>
  <c r="I24" i="3"/>
  <c r="I27" i="3"/>
  <c r="O25" i="3"/>
  <c r="N28" i="3"/>
  <c r="F26" i="3"/>
  <c r="Q26" i="3"/>
  <c r="P28" i="3"/>
  <c r="H24" i="3"/>
  <c r="Q24" i="3"/>
  <c r="W20" i="5"/>
  <c r="X20" i="9" s="1"/>
  <c r="I26" i="3"/>
  <c r="W25" i="3"/>
  <c r="W28" i="3"/>
  <c r="L28" i="3"/>
  <c r="Q27" i="3"/>
  <c r="R20" i="5"/>
  <c r="S20" i="9" s="1"/>
  <c r="S21" i="9" s="1"/>
  <c r="T20" i="5"/>
  <c r="U20" i="9" s="1"/>
  <c r="U21" i="9" s="1"/>
  <c r="Q20" i="5"/>
  <c r="R20" i="9" s="1"/>
  <c r="R21" i="9" s="1"/>
  <c r="R22" i="9" s="1"/>
  <c r="H27" i="3"/>
  <c r="N27" i="3"/>
  <c r="T26" i="3"/>
  <c r="S25" i="3"/>
  <c r="S29" i="3" s="1"/>
  <c r="S31" i="3" s="1"/>
  <c r="R24" i="3"/>
  <c r="U27" i="3"/>
  <c r="J27" i="3"/>
  <c r="U25" i="3"/>
  <c r="M25" i="3"/>
  <c r="P25" i="3"/>
  <c r="M28" i="3"/>
  <c r="M27" i="3"/>
  <c r="J28" i="3"/>
  <c r="J24" i="3"/>
  <c r="X26" i="3"/>
  <c r="X28" i="3"/>
  <c r="K26" i="3"/>
  <c r="J26" i="3"/>
  <c r="R25" i="3"/>
  <c r="R36" i="9"/>
  <c r="E17" i="3"/>
  <c r="E13" i="9" s="1"/>
  <c r="E26" i="3"/>
  <c r="S23" i="9"/>
  <c r="S36" i="9"/>
  <c r="W36" i="9"/>
  <c r="V36" i="9"/>
  <c r="H26" i="3"/>
  <c r="N24" i="3"/>
  <c r="R28" i="3"/>
  <c r="P24" i="3"/>
  <c r="F28" i="3"/>
  <c r="F27" i="3"/>
  <c r="T28" i="3"/>
  <c r="R26" i="3"/>
  <c r="E24" i="3"/>
  <c r="E28" i="3"/>
  <c r="X36" i="9"/>
  <c r="U36" i="9"/>
  <c r="E22" i="9" l="1"/>
  <c r="D75" i="4"/>
  <c r="D65" i="4"/>
  <c r="D62" i="4"/>
  <c r="D69" i="4"/>
  <c r="D61" i="4"/>
  <c r="D56" i="4"/>
  <c r="D70" i="4"/>
  <c r="D51" i="4"/>
  <c r="D59" i="4"/>
  <c r="D66" i="4"/>
  <c r="D71" i="4"/>
  <c r="D76" i="4"/>
  <c r="D63" i="4"/>
  <c r="D64" i="4"/>
  <c r="D57" i="4"/>
  <c r="D67" i="4"/>
  <c r="D80" i="4"/>
  <c r="D52" i="4"/>
  <c r="D58" i="4"/>
  <c r="D74" i="4"/>
  <c r="D68" i="4"/>
  <c r="D55" i="4"/>
  <c r="D78" i="4"/>
  <c r="D77" i="4"/>
  <c r="D73" i="4"/>
  <c r="D72" i="4"/>
  <c r="D60" i="4"/>
  <c r="D54" i="4"/>
  <c r="D79" i="4"/>
  <c r="D53" i="4"/>
  <c r="O20" i="5"/>
  <c r="P20" i="9" s="1"/>
  <c r="P21" i="9" s="1"/>
  <c r="P22" i="9" s="1"/>
  <c r="I20" i="5"/>
  <c r="J20" i="9" s="1"/>
  <c r="J21" i="9" s="1"/>
  <c r="J22" i="9" s="1"/>
  <c r="T22" i="9"/>
  <c r="T30" i="9" s="1"/>
  <c r="F20" i="5"/>
  <c r="G20" i="9" s="1"/>
  <c r="G21" i="9" s="1"/>
  <c r="G22" i="9" s="1"/>
  <c r="E20" i="5"/>
  <c r="F20" i="9" s="1"/>
  <c r="F21" i="9" s="1"/>
  <c r="F22" i="9" s="1"/>
  <c r="H20" i="5"/>
  <c r="I20" i="9" s="1"/>
  <c r="I21" i="9" s="1"/>
  <c r="I22" i="9" s="1"/>
  <c r="T29" i="9"/>
  <c r="U22" i="9"/>
  <c r="U29" i="9" s="1"/>
  <c r="J20" i="5"/>
  <c r="K20" i="9" s="1"/>
  <c r="K21" i="9" s="1"/>
  <c r="K22" i="9" s="1"/>
  <c r="K20" i="5"/>
  <c r="L20" i="9" s="1"/>
  <c r="L21" i="9" s="1"/>
  <c r="L22" i="9" s="1"/>
  <c r="G20" i="5"/>
  <c r="H20" i="9" s="1"/>
  <c r="H21" i="9" s="1"/>
  <c r="H22" i="9" s="1"/>
  <c r="N21" i="9"/>
  <c r="N22" i="9" s="1"/>
  <c r="O21" i="9"/>
  <c r="O22" i="9" s="1"/>
  <c r="S22" i="9"/>
  <c r="S30" i="9" s="1"/>
  <c r="X29" i="3"/>
  <c r="X31" i="3" s="1"/>
  <c r="W29" i="3"/>
  <c r="W31" i="3" s="1"/>
  <c r="T29" i="3"/>
  <c r="T31" i="3" s="1"/>
  <c r="O29" i="3"/>
  <c r="I29" i="3"/>
  <c r="G29" i="3"/>
  <c r="G31" i="3" s="1"/>
  <c r="G33" i="3" s="1"/>
  <c r="G19" i="9" s="1"/>
  <c r="G36" i="9" s="1"/>
  <c r="K29" i="3"/>
  <c r="J29" i="3"/>
  <c r="Q29" i="3"/>
  <c r="Q31" i="3" s="1"/>
  <c r="Q33" i="3" s="1"/>
  <c r="L29" i="3"/>
  <c r="L31" i="3" s="1"/>
  <c r="L33" i="3" s="1"/>
  <c r="H29" i="3"/>
  <c r="H31" i="3" s="1"/>
  <c r="H33" i="3" s="1"/>
  <c r="M29" i="9"/>
  <c r="M30" i="9"/>
  <c r="N29" i="3"/>
  <c r="N31" i="3" s="1"/>
  <c r="N33" i="3" s="1"/>
  <c r="V30" i="9"/>
  <c r="V35" i="9" s="1"/>
  <c r="V37" i="9" s="1"/>
  <c r="V38" i="9" s="1"/>
  <c r="X21" i="9"/>
  <c r="X22" i="9" s="1"/>
  <c r="P29" i="3"/>
  <c r="P31" i="3" s="1"/>
  <c r="P33" i="3" s="1"/>
  <c r="M29" i="3"/>
  <c r="M31" i="3" s="1"/>
  <c r="U29" i="3"/>
  <c r="U31" i="3" s="1"/>
  <c r="R29" i="9"/>
  <c r="R30" i="9"/>
  <c r="W29" i="9"/>
  <c r="W30" i="9"/>
  <c r="F29" i="3"/>
  <c r="F31" i="3" s="1"/>
  <c r="F33" i="3" s="1"/>
  <c r="R29" i="3"/>
  <c r="R31" i="3" s="1"/>
  <c r="E29" i="3"/>
  <c r="E31" i="3" s="1"/>
  <c r="T35" i="9" l="1"/>
  <c r="T37" i="9" s="1"/>
  <c r="T38" i="9" s="1"/>
  <c r="U30" i="9"/>
  <c r="U35" i="9" s="1"/>
  <c r="U37" i="9" s="1"/>
  <c r="U38" i="9" s="1"/>
  <c r="S29" i="9"/>
  <c r="S35" i="9" s="1"/>
  <c r="S37" i="9" s="1"/>
  <c r="S38" i="9" s="1"/>
  <c r="K31" i="3"/>
  <c r="K33" i="3" s="1"/>
  <c r="K19" i="9" s="1"/>
  <c r="I31" i="3"/>
  <c r="I33" i="3" s="1"/>
  <c r="I19" i="9" s="1"/>
  <c r="J31" i="3"/>
  <c r="J33" i="3" s="1"/>
  <c r="J19" i="9" s="1"/>
  <c r="O31" i="3"/>
  <c r="O33" i="3" s="1"/>
  <c r="O19" i="9" s="1"/>
  <c r="Q19" i="9"/>
  <c r="G23" i="9"/>
  <c r="G29" i="9" s="1"/>
  <c r="P19" i="9"/>
  <c r="L19" i="9"/>
  <c r="N19" i="9"/>
  <c r="E33" i="3"/>
  <c r="E19" i="9" s="1"/>
  <c r="E23" i="9" s="1"/>
  <c r="H19" i="9"/>
  <c r="F19" i="9"/>
  <c r="M35" i="9"/>
  <c r="M37" i="9" s="1"/>
  <c r="M38" i="9" s="1"/>
  <c r="R35" i="9"/>
  <c r="R37" i="9" s="1"/>
  <c r="R38" i="9" s="1"/>
  <c r="W35" i="9"/>
  <c r="W37" i="9" s="1"/>
  <c r="W38" i="9" s="1"/>
  <c r="X29" i="9"/>
  <c r="X30" i="9"/>
  <c r="O23" i="9" l="1"/>
  <c r="O29" i="9" s="1"/>
  <c r="O36" i="9"/>
  <c r="J36" i="9"/>
  <c r="J23" i="9"/>
  <c r="J29" i="9" s="1"/>
  <c r="I23" i="9"/>
  <c r="I30" i="9" s="1"/>
  <c r="I36" i="9"/>
  <c r="K23" i="9"/>
  <c r="K29" i="9" s="1"/>
  <c r="K36" i="9"/>
  <c r="G30" i="9"/>
  <c r="G35" i="9" s="1"/>
  <c r="G37" i="9" s="1"/>
  <c r="G38" i="9" s="1"/>
  <c r="N23" i="9"/>
  <c r="N36" i="9"/>
  <c r="Q23" i="9"/>
  <c r="Q36" i="9"/>
  <c r="P36" i="9"/>
  <c r="P23" i="9"/>
  <c r="P29" i="9" s="1"/>
  <c r="L23" i="9"/>
  <c r="L36" i="9"/>
  <c r="H23" i="9"/>
  <c r="H36" i="9"/>
  <c r="F23" i="9"/>
  <c r="F36" i="9"/>
  <c r="X35" i="9"/>
  <c r="X37" i="9" s="1"/>
  <c r="X38" i="9" s="1"/>
  <c r="E36" i="9"/>
  <c r="E30" i="9"/>
  <c r="E29" i="9"/>
  <c r="K30" i="9" l="1"/>
  <c r="K35" i="9" s="1"/>
  <c r="K37" i="9" s="1"/>
  <c r="K38" i="9" s="1"/>
  <c r="O30" i="9"/>
  <c r="O35" i="9" s="1"/>
  <c r="O37" i="9" s="1"/>
  <c r="O38" i="9" s="1"/>
  <c r="I29" i="9"/>
  <c r="I35" i="9" s="1"/>
  <c r="I37" i="9" s="1"/>
  <c r="I38" i="9" s="1"/>
  <c r="J30" i="9"/>
  <c r="J35" i="9" s="1"/>
  <c r="J37" i="9" s="1"/>
  <c r="J38" i="9" s="1"/>
  <c r="P30" i="9"/>
  <c r="P35" i="9" s="1"/>
  <c r="P37" i="9" s="1"/>
  <c r="P38" i="9" s="1"/>
  <c r="N30" i="9"/>
  <c r="N29" i="9"/>
  <c r="Q29" i="9"/>
  <c r="Q30" i="9"/>
  <c r="L29" i="9"/>
  <c r="L30" i="9"/>
  <c r="H29" i="9"/>
  <c r="H30" i="9"/>
  <c r="F29" i="9"/>
  <c r="F30" i="9"/>
  <c r="E35" i="9"/>
  <c r="E37" i="9" s="1"/>
  <c r="E38" i="9" s="1"/>
  <c r="N35" i="9" l="1"/>
  <c r="N37" i="9" s="1"/>
  <c r="N38" i="9" s="1"/>
  <c r="Q35" i="9"/>
  <c r="Q37" i="9" s="1"/>
  <c r="Q38" i="9" s="1"/>
  <c r="L35" i="9"/>
  <c r="L37" i="9" s="1"/>
  <c r="L38" i="9" s="1"/>
  <c r="H35" i="9"/>
  <c r="H37" i="9" s="1"/>
  <c r="H38" i="9" s="1"/>
  <c r="F35" i="9"/>
  <c r="F37" i="9" s="1"/>
  <c r="F38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tc={C03FF5FF-9C8E-47A1-BA00-E37E68F09ED5}</author>
    <author>tc={EA9A941A-643F-42CB-8AC8-AE72D5DEAADE}</author>
  </authors>
  <commentList>
    <comment ref="G4" authorId="0" shapeId="0" xr:uid="{C03FF5FF-9C8E-47A1-BA00-E37E68F09ED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ve variantě BP, 3 a 4 není</t>
      </text>
    </comment>
    <comment ref="J4" authorId="1" shapeId="0" xr:uid="{EA9A941A-643F-42CB-8AC8-AE72D5DEAAD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 nové BP se nevyskytuje</t>
      </text>
    </comment>
  </commentList>
</comments>
</file>

<file path=xl/sharedStrings.xml><?xml version="1.0" encoding="utf-8"?>
<sst xmlns="http://schemas.openxmlformats.org/spreadsheetml/2006/main" count="631" uniqueCount="349">
  <si>
    <t>Náklady na pořízení vozidel</t>
  </si>
  <si>
    <t>DATA</t>
  </si>
  <si>
    <t>Postup výpočtu</t>
  </si>
  <si>
    <t>Druh vlaku</t>
  </si>
  <si>
    <t>Trakce</t>
  </si>
  <si>
    <t>Hrubá hmotnost vlaku</t>
  </si>
  <si>
    <t>Náklady na dopravní cestu celkem</t>
  </si>
  <si>
    <t>[t]</t>
  </si>
  <si>
    <t>[km]</t>
  </si>
  <si>
    <t>[%]</t>
  </si>
  <si>
    <t>[Kč]</t>
  </si>
  <si>
    <t>vlak1</t>
  </si>
  <si>
    <t>vlak2</t>
  </si>
  <si>
    <t>vlak3</t>
  </si>
  <si>
    <t>vlak4</t>
  </si>
  <si>
    <t>vlak5</t>
  </si>
  <si>
    <t>vlak6</t>
  </si>
  <si>
    <t>vlak7</t>
  </si>
  <si>
    <t>vlak8</t>
  </si>
  <si>
    <t>vlak9</t>
  </si>
  <si>
    <t>vlak10</t>
  </si>
  <si>
    <t>vlak11</t>
  </si>
  <si>
    <t>vlak12</t>
  </si>
  <si>
    <t>vlak13</t>
  </si>
  <si>
    <t>vlak14</t>
  </si>
  <si>
    <t>vlak15</t>
  </si>
  <si>
    <t>vlak16</t>
  </si>
  <si>
    <t>vlak17</t>
  </si>
  <si>
    <t>vlak18</t>
  </si>
  <si>
    <t>vlak19</t>
  </si>
  <si>
    <t>vlak20</t>
  </si>
  <si>
    <t>Délka jízdy</t>
  </si>
  <si>
    <t>[kWh]</t>
  </si>
  <si>
    <t>Typ vozidla</t>
  </si>
  <si>
    <t>[ks]</t>
  </si>
  <si>
    <t>[mil.Kč/ks]</t>
  </si>
  <si>
    <t>[let]</t>
  </si>
  <si>
    <t>[mil.Kč]</t>
  </si>
  <si>
    <t>Profese 1</t>
  </si>
  <si>
    <t>Počet zaměstnanců</t>
  </si>
  <si>
    <t>[osob]</t>
  </si>
  <si>
    <t>Celkové obchodní náklady</t>
  </si>
  <si>
    <t>Náklady na ŽDC</t>
  </si>
  <si>
    <t>Náklady na mzdy</t>
  </si>
  <si>
    <t>Jiné neuvedené náklady</t>
  </si>
  <si>
    <t>Obchodní marže</t>
  </si>
  <si>
    <t>Náklady na správu a režii</t>
  </si>
  <si>
    <t>Název vlaku</t>
  </si>
  <si>
    <t>Sestavení vlaku</t>
  </si>
  <si>
    <t>Obsazení vlaku personálem</t>
  </si>
  <si>
    <t>Rekapitulace výsledků</t>
  </si>
  <si>
    <t>Nastavení odvozených nákladů</t>
  </si>
  <si>
    <t>Celkem trakční energie</t>
  </si>
  <si>
    <t>%</t>
  </si>
  <si>
    <t>Hodinové náklady profese</t>
  </si>
  <si>
    <t>[Kč/hod]</t>
  </si>
  <si>
    <t>1.rok</t>
  </si>
  <si>
    <t>2.rok</t>
  </si>
  <si>
    <t>3.rok</t>
  </si>
  <si>
    <t>4.rok</t>
  </si>
  <si>
    <t>5.rok</t>
  </si>
  <si>
    <t>6.rok</t>
  </si>
  <si>
    <t>7.rok</t>
  </si>
  <si>
    <t>8.rok</t>
  </si>
  <si>
    <t>9.rok</t>
  </si>
  <si>
    <t>10.rok</t>
  </si>
  <si>
    <t>11.rok</t>
  </si>
  <si>
    <t>12.rok</t>
  </si>
  <si>
    <t>13.rok</t>
  </si>
  <si>
    <t>14.rok</t>
  </si>
  <si>
    <t>15.rok</t>
  </si>
  <si>
    <t>16.rok</t>
  </si>
  <si>
    <t>17.rok</t>
  </si>
  <si>
    <t>18.rok</t>
  </si>
  <si>
    <t>19.rok</t>
  </si>
  <si>
    <t>20.rok</t>
  </si>
  <si>
    <t>21.rok</t>
  </si>
  <si>
    <t>22.rok</t>
  </si>
  <si>
    <t>23.rok</t>
  </si>
  <si>
    <t>24.rok</t>
  </si>
  <si>
    <t>25.rok</t>
  </si>
  <si>
    <t>26.rok</t>
  </si>
  <si>
    <t>27.rok</t>
  </si>
  <si>
    <t>28.rok</t>
  </si>
  <si>
    <t>29.rok</t>
  </si>
  <si>
    <t>30.rok</t>
  </si>
  <si>
    <t>Poměr údržby a oprav</t>
  </si>
  <si>
    <t>Pořizovací náklady vozidla</t>
  </si>
  <si>
    <t>Pořizovací náklady vlaku</t>
  </si>
  <si>
    <t>Počet vozidel ve vlaku</t>
  </si>
  <si>
    <t>Roční náklady na údržbu a opravy</t>
  </si>
  <si>
    <t>Doba odepisování / počet splátek</t>
  </si>
  <si>
    <t>CELKEM</t>
  </si>
  <si>
    <t>Strojvedoucí lokomotiv, vlaků</t>
  </si>
  <si>
    <t>Průvodčí vlaků v osobní dopravě</t>
  </si>
  <si>
    <t>Vlakvedoucí v nákladní dopravě</t>
  </si>
  <si>
    <t>Hrubá měsíční mzda</t>
  </si>
  <si>
    <t xml:space="preserve">Stevardi, obslužní pracovníci </t>
  </si>
  <si>
    <t>Měsíční náklady profese</t>
  </si>
  <si>
    <t>Podíl v měs. nákladech</t>
  </si>
  <si>
    <t>Kč/měs.</t>
  </si>
  <si>
    <t>Produktivní podíl práce</t>
  </si>
  <si>
    <t>Fond prac.doby</t>
  </si>
  <si>
    <t>hod./měs.</t>
  </si>
  <si>
    <t>Zkrácený název profese</t>
  </si>
  <si>
    <t>průvodčí</t>
  </si>
  <si>
    <t>Náklady na vlakový personál</t>
  </si>
  <si>
    <t>Celkem mzdové náklady</t>
  </si>
  <si>
    <t>.</t>
  </si>
  <si>
    <t>obsluha os.vl.</t>
  </si>
  <si>
    <t>vlakved.nákl.vl.</t>
  </si>
  <si>
    <t>Profese 2</t>
  </si>
  <si>
    <t>Profese 3</t>
  </si>
  <si>
    <t>Profese 4</t>
  </si>
  <si>
    <t>Profese 5</t>
  </si>
  <si>
    <t>[mil.Kč/rok]</t>
  </si>
  <si>
    <t>Stupeň sklonové náročnosti tratě</t>
  </si>
  <si>
    <t>Stupeň počtu zastavování</t>
  </si>
  <si>
    <t>Pořízení a provozuschopnost ŽKV</t>
  </si>
  <si>
    <t>Výpočet nákladů na jízdu vlaku</t>
  </si>
  <si>
    <t>Výpočet nákladů na vlakovou četu</t>
  </si>
  <si>
    <t>Parametry vlaku pro jízdu</t>
  </si>
  <si>
    <t>osobní</t>
  </si>
  <si>
    <t>nákladní</t>
  </si>
  <si>
    <t>motorová</t>
  </si>
  <si>
    <t>elektrická</t>
  </si>
  <si>
    <t>hybridní</t>
  </si>
  <si>
    <t>Kč/kWh</t>
  </si>
  <si>
    <t>[Kč/km]</t>
  </si>
  <si>
    <t>Průměrné měrné náklady na ŽDC</t>
  </si>
  <si>
    <t>Jízda</t>
  </si>
  <si>
    <t>Ekonomické náklady na pořízení, údržbu a opravy vlaku</t>
  </si>
  <si>
    <t>Přepočet na běžnou hodinu</t>
  </si>
  <si>
    <t>Údržba a opravy</t>
  </si>
  <si>
    <t>Přepočet na provozní hodinu (jízdy)</t>
  </si>
  <si>
    <t>[Kč/vlhod]</t>
  </si>
  <si>
    <t>Náklady na energii</t>
  </si>
  <si>
    <t>Náklady na údržbu a opravy vozidel</t>
  </si>
  <si>
    <t>[Kč/vlkm]</t>
  </si>
  <si>
    <t>[km/h]</t>
  </si>
  <si>
    <t>List</t>
  </si>
  <si>
    <t>Parametry jízdy vlaku</t>
  </si>
  <si>
    <t>SOUHRN PN VLAKŮ</t>
  </si>
  <si>
    <t>Nastavení parametrů výpočtu</t>
  </si>
  <si>
    <t>Stadler</t>
  </si>
  <si>
    <t>Vectron</t>
  </si>
  <si>
    <t>Kč/vlhod</t>
  </si>
  <si>
    <t>Kategorie</t>
  </si>
  <si>
    <t>Pořizovací náklady</t>
  </si>
  <si>
    <t>Max. rychlost</t>
  </si>
  <si>
    <t>Řada</t>
  </si>
  <si>
    <t>Regio Shuttle RS1</t>
  </si>
  <si>
    <t>Motorový vůz</t>
  </si>
  <si>
    <t>Popis</t>
  </si>
  <si>
    <t>Jednovozová motorová jednotka pro cca 70 sedících a 95 stojících cestujících</t>
  </si>
  <si>
    <t>komentář</t>
  </si>
  <si>
    <t>Hmotnost vozidla</t>
  </si>
  <si>
    <t>RegioShark</t>
  </si>
  <si>
    <t>Délka</t>
  </si>
  <si>
    <t>[m]</t>
  </si>
  <si>
    <t>PESA</t>
  </si>
  <si>
    <t>Dvoudílná motorová jednotka pro cca 120 sedících a 120 stojících cestujících</t>
  </si>
  <si>
    <t>2x390</t>
  </si>
  <si>
    <t>[kW]</t>
  </si>
  <si>
    <t>Výkon</t>
  </si>
  <si>
    <t>2x265</t>
  </si>
  <si>
    <t>RegioPanter/2</t>
  </si>
  <si>
    <t>RegioPanter/3</t>
  </si>
  <si>
    <t>CityElefant</t>
  </si>
  <si>
    <t>471+071+971</t>
  </si>
  <si>
    <t>VR jednotka</t>
  </si>
  <si>
    <t>Osobní vůz</t>
  </si>
  <si>
    <t>El. jednotka</t>
  </si>
  <si>
    <t>El. lokomotiva</t>
  </si>
  <si>
    <t>A</t>
  </si>
  <si>
    <t>B</t>
  </si>
  <si>
    <t>WR</t>
  </si>
  <si>
    <t>-</t>
  </si>
  <si>
    <t>Nákladní vůz</t>
  </si>
  <si>
    <t>Plošinový vůz</t>
  </si>
  <si>
    <t>Krytý vůz</t>
  </si>
  <si>
    <t>Mot. lokomotiva</t>
  </si>
  <si>
    <t>Modernizovaný jídelní vůz pro 24+7 cestujících</t>
  </si>
  <si>
    <t>Jídelní vůz</t>
  </si>
  <si>
    <t>Vůz 1. třídy</t>
  </si>
  <si>
    <t>Vůz 2. třídy</t>
  </si>
  <si>
    <t>Škoda Vagonka</t>
  </si>
  <si>
    <t>Vícesystémová elektrická lokomotiva</t>
  </si>
  <si>
    <t>Čtyřnápravová motorová lokomotiva pro těžkou traťovou službu</t>
  </si>
  <si>
    <t>Čtyřnápravová motorová lokomotiva pro lehkou traťovou službu</t>
  </si>
  <si>
    <t>Speciální vůz</t>
  </si>
  <si>
    <t>Plošinový vůz, vůz pro přepravu kontejnerů</t>
  </si>
  <si>
    <t>Značka / Výrobce (konkrétní vozidlo)</t>
  </si>
  <si>
    <t>CZ LOKO</t>
  </si>
  <si>
    <t>Emil Zátopek</t>
  </si>
  <si>
    <t>Škoda Transportation</t>
  </si>
  <si>
    <t>Taurus</t>
  </si>
  <si>
    <t>Siemens</t>
  </si>
  <si>
    <t>Velaro</t>
  </si>
  <si>
    <t>ICE 3</t>
  </si>
  <si>
    <t>Osmivozová vysokorychlostní jednotka pro 440 cestujících</t>
  </si>
  <si>
    <t>Třívozová patrová elektrická jednotka pro 310 sedících a 333 stojících cestujících</t>
  </si>
  <si>
    <t>Třívozová elektrická jednotka pro 241 sedících cestujících</t>
  </si>
  <si>
    <t>Dvouvozová elektrická jednotka pro 147 sedících cestujících</t>
  </si>
  <si>
    <t>nespecifikováno</t>
  </si>
  <si>
    <t>Základní provozní náklady</t>
  </si>
  <si>
    <t>Ostatní provozní náklady</t>
  </si>
  <si>
    <t>sklon</t>
  </si>
  <si>
    <t>rychlost</t>
  </si>
  <si>
    <t>zastavení</t>
  </si>
  <si>
    <t>Cena energie</t>
  </si>
  <si>
    <t>lokomotivní</t>
  </si>
  <si>
    <t>el</t>
  </si>
  <si>
    <t>mot</t>
  </si>
  <si>
    <t>lok</t>
  </si>
  <si>
    <t>základ</t>
  </si>
  <si>
    <t>Netrakční</t>
  </si>
  <si>
    <t>manipulace</t>
  </si>
  <si>
    <t>topení</t>
  </si>
  <si>
    <t>účinnost</t>
  </si>
  <si>
    <t>Stupeň rychlosti</t>
  </si>
  <si>
    <t>koef. zastavení</t>
  </si>
  <si>
    <t>koef. sklonu</t>
  </si>
  <si>
    <t>koef. rychlosti</t>
  </si>
  <si>
    <t>kód</t>
  </si>
  <si>
    <t>od</t>
  </si>
  <si>
    <t>nd</t>
  </si>
  <si>
    <t>koef. netrakční</t>
  </si>
  <si>
    <t>[kWh/tis.hrtkm]</t>
  </si>
  <si>
    <t>trakční spotřeba</t>
  </si>
  <si>
    <t>Vlaky kategorie Ex, Nex</t>
  </si>
  <si>
    <t>Vlaky kategorie Sp, Pn</t>
  </si>
  <si>
    <t>Vlaky kategorie Os, Mn</t>
  </si>
  <si>
    <r>
      <t xml:space="preserve">Trať se sklony do 5 </t>
    </r>
    <r>
      <rPr>
        <sz val="10"/>
        <rFont val="Calibri"/>
        <family val="2"/>
        <charset val="238"/>
      </rPr>
      <t>‰</t>
    </r>
  </si>
  <si>
    <r>
      <t xml:space="preserve">Trať se sklony do 10 </t>
    </r>
    <r>
      <rPr>
        <sz val="10"/>
        <rFont val="Calibri"/>
        <family val="2"/>
        <charset val="238"/>
      </rPr>
      <t>‰</t>
    </r>
  </si>
  <si>
    <r>
      <t xml:space="preserve">Trať se sklony více jak 10 </t>
    </r>
    <r>
      <rPr>
        <sz val="10"/>
        <rFont val="Calibri"/>
        <family val="2"/>
        <charset val="238"/>
      </rPr>
      <t>‰</t>
    </r>
  </si>
  <si>
    <t>Jízda vlaku rychlostí do 50 km/h</t>
  </si>
  <si>
    <t>Jízda vlaku rychlostí do 75 km/h</t>
  </si>
  <si>
    <t>Jízda vlaku rychlostí do 100 km/h</t>
  </si>
  <si>
    <t>Hodnota</t>
  </si>
  <si>
    <t>Význam</t>
  </si>
  <si>
    <t>Tabulka koeficientů</t>
  </si>
  <si>
    <t>Výpočet trakční a netrakční energie</t>
  </si>
  <si>
    <t>Tab. 0.1</t>
  </si>
  <si>
    <t>Tab. 0.2</t>
  </si>
  <si>
    <t>Tab. 0.3</t>
  </si>
  <si>
    <t>Tab. 0.4</t>
  </si>
  <si>
    <t>Tab. 0.5</t>
  </si>
  <si>
    <t>Tab. 5</t>
  </si>
  <si>
    <t>Výpočetní model pro stanovení zjednodušených sazeb pro výpočet provozních nákladů vlaků</t>
  </si>
  <si>
    <t>Barevné značení buněk</t>
  </si>
  <si>
    <t>manuální zadání vstupní hodnoty</t>
  </si>
  <si>
    <t>pole automaticky dopočítávané</t>
  </si>
  <si>
    <t xml:space="preserve">popisné pole tabulky </t>
  </si>
  <si>
    <t>Tab. 1.1</t>
  </si>
  <si>
    <t>Tab. 1.2</t>
  </si>
  <si>
    <t>Tab. 1.3</t>
  </si>
  <si>
    <t>Tab. 1.4</t>
  </si>
  <si>
    <t>Tab. 1.5</t>
  </si>
  <si>
    <t>Tab. 2.1</t>
  </si>
  <si>
    <t>Tab. 2.3</t>
  </si>
  <si>
    <t>Tab. 2.4</t>
  </si>
  <si>
    <t>Tab. 3.1</t>
  </si>
  <si>
    <t>Tab. 4.1</t>
  </si>
  <si>
    <t>Tab. 4.2</t>
  </si>
  <si>
    <t>Tab. 4.3</t>
  </si>
  <si>
    <t>Tab. 4.4</t>
  </si>
  <si>
    <t>Tab. 4.5</t>
  </si>
  <si>
    <t>Modernizovaný osobní vůz 1. třídy pro 58 cestujících</t>
  </si>
  <si>
    <t>Modernizovaný osobní vůz 2. třídy pro 66 cestujících</t>
  </si>
  <si>
    <t>Eurorunner ER20</t>
  </si>
  <si>
    <t>EffiShunter 1000</t>
  </si>
  <si>
    <t>EffiShunter</t>
  </si>
  <si>
    <t xml:space="preserve">Dvounápravová motorová lokomotiva pro posun </t>
  </si>
  <si>
    <t>Krytý vůz pro přepravu kusového zboží</t>
  </si>
  <si>
    <t>Nákladní vůz speciální konstrukce (chladící vůz, cisternový vůz apod.)</t>
  </si>
  <si>
    <t>Propočtená spotřeba energie</t>
  </si>
  <si>
    <t>rekuperace</t>
  </si>
  <si>
    <t>Tab. 0.6</t>
  </si>
  <si>
    <t>Základní cena</t>
  </si>
  <si>
    <t>Jízda vlaku rychlostí do 130 km/h</t>
  </si>
  <si>
    <t>Jízda vlaku rychlostí do 160 km/h</t>
  </si>
  <si>
    <t>Jízda vlaku rychlostí do 200 km/h</t>
  </si>
  <si>
    <t>strojved. osob.</t>
  </si>
  <si>
    <t>strojved. nákl.</t>
  </si>
  <si>
    <t>Základní provozní náklady - časová složka</t>
  </si>
  <si>
    <t>Základní provozní náklady - dráhová složka</t>
  </si>
  <si>
    <t>704.9</t>
  </si>
  <si>
    <t>753.7</t>
  </si>
  <si>
    <t>Modernizace 753</t>
  </si>
  <si>
    <t>Čtyřnápravová motorová lokomotiva pro nákladní traťovou službu</t>
  </si>
  <si>
    <t>CELKEM PŘEPOČTENÉ PROVOZNÍ NÁKLADY</t>
  </si>
  <si>
    <t>Rekuperace</t>
  </si>
  <si>
    <t>ANO</t>
  </si>
  <si>
    <t>NE</t>
  </si>
  <si>
    <t>Produktový faktor</t>
  </si>
  <si>
    <t>hodnota</t>
  </si>
  <si>
    <t>Tab. 2.5a</t>
  </si>
  <si>
    <t>Specifický faktor S2</t>
  </si>
  <si>
    <t>hodnota S2</t>
  </si>
  <si>
    <t>Legenda pro hodnoty v Tab. 2.3:</t>
  </si>
  <si>
    <t>Px</t>
  </si>
  <si>
    <t>Hodnota produktového faktoru P</t>
  </si>
  <si>
    <t>Délka úseku tratě</t>
  </si>
  <si>
    <t>P1 (osobní doprava)</t>
  </si>
  <si>
    <t>P2 (nákl.d. nespecifická)</t>
  </si>
  <si>
    <t>P3 (svoz a rozvoz voz. zásilek)</t>
  </si>
  <si>
    <t>P4 (kombinovaná nákl.d.)</t>
  </si>
  <si>
    <t>P5 (nákl.d. nestandartní)</t>
  </si>
  <si>
    <t>základní sazba [kWh/tis.hrtkm]</t>
  </si>
  <si>
    <r>
      <t>Skutečná spotřeba</t>
    </r>
    <r>
      <rPr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>(alternativní výpočet)</t>
    </r>
  </si>
  <si>
    <t>Délka jízdy vlaku</t>
  </si>
  <si>
    <r>
      <t xml:space="preserve">Poměr časového      využití vlaku             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(popř. počet hodin                      v oběhu)</t>
    </r>
  </si>
  <si>
    <t>Průměrná cestovní rychlost vlaku (pro přepočet)</t>
  </si>
  <si>
    <t>(obě složky přepočteny vždy na jednu z nich)</t>
  </si>
  <si>
    <t>Celkové obchodní náklady - časová složka</t>
  </si>
  <si>
    <t>Celkové obchodní náklady - dráhová složka</t>
  </si>
  <si>
    <t>Následující údaje jsou uvedeny pouze pro celkovou informaci, ale nevstupují do ekonomického hodnocení:</t>
  </si>
  <si>
    <t>el.ss</t>
  </si>
  <si>
    <t>el.stř</t>
  </si>
  <si>
    <t>Ostatní</t>
  </si>
  <si>
    <t>pole automaticky dopočítávané (důležité výstupy)</t>
  </si>
  <si>
    <t>Pořizovací náklady (rozloženo do 30 let)</t>
  </si>
  <si>
    <t>Tab. 2.2</t>
  </si>
  <si>
    <t>Třívozová elektrická jednotka pro 244 sedících cestujících</t>
  </si>
  <si>
    <t>[Kč/hrtkm]</t>
  </si>
  <si>
    <t>Celková hmotnost vlaku</t>
  </si>
  <si>
    <r>
      <rPr>
        <i/>
        <sz val="10"/>
        <rFont val="Arial"/>
        <family val="2"/>
        <charset val="238"/>
      </rPr>
      <t>k</t>
    </r>
    <r>
      <rPr>
        <i/>
        <sz val="5"/>
        <rFont val="Arial"/>
        <family val="2"/>
        <charset val="238"/>
      </rPr>
      <t>ETCS</t>
    </r>
  </si>
  <si>
    <t>Koeficient vybavenosti vlaku ETCS</t>
  </si>
  <si>
    <t>Tab. 2.5b</t>
  </si>
  <si>
    <t>verze 07/2021</t>
  </si>
  <si>
    <t>baterie</t>
  </si>
  <si>
    <t>140 / 120</t>
  </si>
  <si>
    <t>elektrická / akumulátor</t>
  </si>
  <si>
    <t>Pozn.: V katalogu vozidel jsou uvedena typická konkrétní vozidla, vždy se však jedná i o přiměřeně podobná vozidla jiných výrobců nebo jiného provedení se zachováním hlavních technických a provozních charakteristik</t>
  </si>
  <si>
    <t>nevybavené OBU</t>
  </si>
  <si>
    <t>vybavené OBU</t>
  </si>
  <si>
    <t xml:space="preserve">Mzdové náklady pracovníků dopravce podílejících se přímo na jízdě vlaku </t>
  </si>
  <si>
    <t>Desiro ML EMU</t>
  </si>
  <si>
    <t>Desiro ML BEMU</t>
  </si>
  <si>
    <t>Třívozová bateriově-elektrická jednotka pro 244 sedících cestujících</t>
  </si>
  <si>
    <t>Podíl el. trakce</t>
  </si>
  <si>
    <t>Poměr spotřeby bateriového vozidla a el. vozidla s využitím rekuperace</t>
  </si>
  <si>
    <t>Poměr spotřeby bateriového vozidla a el. vozidla bez využití rekuperace</t>
  </si>
  <si>
    <t>BEMU3v</t>
  </si>
  <si>
    <t>S1</t>
  </si>
  <si>
    <t>R27</t>
  </si>
  <si>
    <t>R61</t>
  </si>
  <si>
    <t>S9, S10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</si>
</sst>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"/>
    <numFmt numFmtId="166" formatCode="#,##0.0"/>
    <numFmt numFmtId="167" formatCode="0.00000"/>
    <numFmt numFmtId="168" formatCode="00&quot; %  z mezd&quot;"/>
    <numFmt numFmtId="169" formatCode="0&quot; %&quot;"/>
    <numFmt numFmtId="170" formatCode="0&quot; &quot;%"/>
  </numFmts>
  <fonts count="2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8"/>
      <color indexed="21"/>
      <name val="Arial"/>
      <family val="2"/>
      <charset val="238"/>
    </font>
    <font>
      <b/>
      <sz val="14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i/>
      <sz val="5"/>
      <name val="Arial"/>
      <family val="2"/>
      <charset val="238"/>
    </font>
    <font>
      <b/>
      <i/>
      <sz val="10"/>
      <color theme="0"/>
      <name val="Arial"/>
      <family val="2"/>
      <charset val="238"/>
    </font>
    <font>
      <sz val="14"/>
      <color rgb="FF0070C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6" fillId="0" borderId="0"/>
  </cellStyleXfs>
  <cellXfs count="521">
    <xf numFmtId="0" fontId="0" fillId="0" borderId="0" xfId="0"/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2" fontId="10" fillId="3" borderId="56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Protection="1"/>
    <xf numFmtId="0" fontId="0" fillId="0" borderId="0" xfId="0" applyProtection="1"/>
    <xf numFmtId="0" fontId="23" fillId="0" borderId="0" xfId="0" applyFont="1" applyProtection="1"/>
    <xf numFmtId="0" fontId="2" fillId="0" borderId="0" xfId="0" applyFont="1" applyProtection="1"/>
    <xf numFmtId="0" fontId="2" fillId="2" borderId="1" xfId="0" applyFont="1" applyFill="1" applyBorder="1" applyProtection="1"/>
    <xf numFmtId="0" fontId="5" fillId="2" borderId="1" xfId="0" applyFont="1" applyFill="1" applyBorder="1" applyProtection="1"/>
    <xf numFmtId="0" fontId="2" fillId="0" borderId="0" xfId="0" applyFont="1" applyFill="1" applyBorder="1" applyProtection="1"/>
    <xf numFmtId="0" fontId="0" fillId="0" borderId="0" xfId="0" applyFill="1" applyBorder="1" applyProtection="1"/>
    <xf numFmtId="0" fontId="2" fillId="0" borderId="0" xfId="0" applyFont="1" applyAlignment="1" applyProtection="1">
      <alignment horizontal="center"/>
    </xf>
    <xf numFmtId="0" fontId="5" fillId="0" borderId="0" xfId="0" applyFont="1" applyProtection="1"/>
    <xf numFmtId="0" fontId="5" fillId="5" borderId="3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5" fillId="10" borderId="3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11" borderId="3" xfId="0" applyFont="1" applyFill="1" applyBorder="1" applyAlignment="1" applyProtection="1">
      <alignment horizontal="left" vertical="center"/>
    </xf>
    <xf numFmtId="0" fontId="5" fillId="12" borderId="3" xfId="0" applyFont="1" applyFill="1" applyBorder="1" applyAlignment="1" applyProtection="1">
      <alignment horizontal="left" vertical="center"/>
    </xf>
    <xf numFmtId="0" fontId="0" fillId="0" borderId="0" xfId="0" applyFill="1" applyProtection="1"/>
    <xf numFmtId="0" fontId="22" fillId="7" borderId="0" xfId="0" applyFont="1" applyFill="1" applyProtection="1"/>
    <xf numFmtId="0" fontId="0" fillId="8" borderId="7" xfId="0" applyFill="1" applyBorder="1" applyProtection="1"/>
    <xf numFmtId="0" fontId="0" fillId="8" borderId="44" xfId="0" applyFill="1" applyBorder="1" applyProtection="1"/>
    <xf numFmtId="0" fontId="7" fillId="8" borderId="34" xfId="0" applyFont="1" applyFill="1" applyBorder="1" applyAlignment="1" applyProtection="1">
      <alignment horizontal="center" vertical="center" wrapText="1"/>
    </xf>
    <xf numFmtId="0" fontId="7" fillId="8" borderId="3" xfId="0" applyFont="1" applyFill="1" applyBorder="1" applyAlignment="1" applyProtection="1">
      <alignment horizontal="center" vertical="center" wrapText="1"/>
    </xf>
    <xf numFmtId="0" fontId="7" fillId="8" borderId="5" xfId="0" applyFont="1" applyFill="1" applyBorder="1" applyAlignment="1" applyProtection="1">
      <alignment horizontal="center" vertical="center" wrapText="1"/>
    </xf>
    <xf numFmtId="0" fontId="0" fillId="8" borderId="45" xfId="0" applyFill="1" applyBorder="1" applyProtection="1"/>
    <xf numFmtId="0" fontId="0" fillId="8" borderId="35" xfId="0" applyFill="1" applyBorder="1" applyProtection="1"/>
    <xf numFmtId="0" fontId="7" fillId="8" borderId="46" xfId="0" applyFont="1" applyFill="1" applyBorder="1" applyAlignment="1" applyProtection="1">
      <alignment horizontal="center" vertical="center" wrapText="1"/>
    </xf>
    <xf numFmtId="0" fontId="7" fillId="8" borderId="47" xfId="0" applyFont="1" applyFill="1" applyBorder="1" applyAlignment="1" applyProtection="1">
      <alignment horizontal="center" vertical="center" wrapText="1"/>
    </xf>
    <xf numFmtId="0" fontId="7" fillId="8" borderId="48" xfId="0" applyFont="1" applyFill="1" applyBorder="1" applyAlignment="1" applyProtection="1">
      <alignment horizontal="center" vertical="center" wrapText="1"/>
    </xf>
    <xf numFmtId="3" fontId="10" fillId="0" borderId="19" xfId="0" applyNumberFormat="1" applyFont="1" applyFill="1" applyBorder="1" applyAlignment="1" applyProtection="1">
      <alignment horizontal="center" vertical="center" wrapText="1"/>
    </xf>
    <xf numFmtId="166" fontId="10" fillId="0" borderId="19" xfId="0" applyNumberFormat="1" applyFont="1" applyFill="1" applyBorder="1" applyAlignment="1" applyProtection="1">
      <alignment horizontal="center" vertical="center" wrapText="1"/>
    </xf>
    <xf numFmtId="3" fontId="1" fillId="0" borderId="19" xfId="0" applyNumberFormat="1" applyFont="1" applyFill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center" vertical="center" wrapText="1"/>
    </xf>
    <xf numFmtId="3" fontId="10" fillId="0" borderId="3" xfId="0" applyNumberFormat="1" applyFont="1" applyFill="1" applyBorder="1" applyAlignment="1" applyProtection="1">
      <alignment horizontal="center" vertical="center" wrapText="1"/>
    </xf>
    <xf numFmtId="166" fontId="10" fillId="0" borderId="3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3" fontId="10" fillId="0" borderId="5" xfId="0" applyNumberFormat="1" applyFont="1" applyFill="1" applyBorder="1" applyAlignment="1" applyProtection="1">
      <alignment horizontal="center" vertical="center" wrapText="1"/>
    </xf>
    <xf numFmtId="3" fontId="1" fillId="0" borderId="50" xfId="0" applyNumberFormat="1" applyFont="1" applyFill="1" applyBorder="1" applyAlignment="1" applyProtection="1">
      <alignment horizontal="center" vertical="center" wrapText="1"/>
    </xf>
    <xf numFmtId="3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166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3" xfId="0" applyNumberFormat="1" applyFont="1" applyBorder="1" applyAlignment="1" applyProtection="1">
      <alignment horizontal="center" vertical="center" wrapText="1"/>
    </xf>
    <xf numFmtId="3" fontId="10" fillId="0" borderId="5" xfId="0" applyNumberFormat="1" applyFont="1" applyBorder="1" applyAlignment="1" applyProtection="1">
      <alignment horizontal="center" vertical="center" wrapText="1"/>
    </xf>
    <xf numFmtId="3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166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6" xfId="0" applyNumberFormat="1" applyFont="1" applyBorder="1" applyAlignment="1" applyProtection="1">
      <alignment horizontal="center" vertical="center" wrapText="1"/>
    </xf>
    <xf numFmtId="3" fontId="10" fillId="0" borderId="6" xfId="0" applyNumberFormat="1" applyFont="1" applyBorder="1" applyAlignment="1" applyProtection="1">
      <alignment horizontal="center" vertical="center" wrapText="1"/>
    </xf>
    <xf numFmtId="3" fontId="10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/>
    <xf numFmtId="0" fontId="5" fillId="8" borderId="39" xfId="0" applyFont="1" applyFill="1" applyBorder="1" applyProtection="1"/>
    <xf numFmtId="2" fontId="10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Protection="1"/>
    <xf numFmtId="0" fontId="5" fillId="8" borderId="40" xfId="0" applyFont="1" applyFill="1" applyBorder="1" applyProtection="1"/>
    <xf numFmtId="2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Protection="1"/>
    <xf numFmtId="0" fontId="5" fillId="8" borderId="38" xfId="0" applyFont="1" applyFill="1" applyBorder="1" applyAlignment="1" applyProtection="1">
      <alignment horizontal="center"/>
    </xf>
    <xf numFmtId="0" fontId="5" fillId="8" borderId="16" xfId="0" applyFont="1" applyFill="1" applyBorder="1" applyAlignment="1" applyProtection="1">
      <alignment horizontal="center"/>
    </xf>
    <xf numFmtId="0" fontId="5" fillId="0" borderId="21" xfId="0" applyFont="1" applyBorder="1" applyProtection="1"/>
    <xf numFmtId="0" fontId="5" fillId="8" borderId="75" xfId="0" applyFont="1" applyFill="1" applyBorder="1" applyProtection="1"/>
    <xf numFmtId="0" fontId="5" fillId="8" borderId="49" xfId="0" applyFont="1" applyFill="1" applyBorder="1" applyAlignment="1" applyProtection="1">
      <alignment horizontal="center"/>
    </xf>
    <xf numFmtId="0" fontId="5" fillId="8" borderId="14" xfId="0" applyFont="1" applyFill="1" applyBorder="1" applyAlignment="1" applyProtection="1">
      <alignment horizontal="center"/>
    </xf>
    <xf numFmtId="0" fontId="5" fillId="8" borderId="37" xfId="0" applyFont="1" applyFill="1" applyBorder="1" applyAlignment="1" applyProtection="1">
      <alignment horizontal="center"/>
    </xf>
    <xf numFmtId="0" fontId="5" fillId="8" borderId="50" xfId="0" applyFont="1" applyFill="1" applyBorder="1" applyAlignment="1" applyProtection="1">
      <alignment horizontal="center"/>
    </xf>
    <xf numFmtId="0" fontId="5" fillId="8" borderId="51" xfId="0" applyFont="1" applyFill="1" applyBorder="1" applyAlignment="1" applyProtection="1">
      <alignment horizontal="center" vertical="center"/>
    </xf>
    <xf numFmtId="0" fontId="5" fillId="8" borderId="73" xfId="0" applyFont="1" applyFill="1" applyBorder="1" applyProtection="1"/>
    <xf numFmtId="2" fontId="10" fillId="3" borderId="5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Border="1" applyProtection="1"/>
    <xf numFmtId="170" fontId="10" fillId="3" borderId="28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Protection="1"/>
    <xf numFmtId="2" fontId="25" fillId="0" borderId="34" xfId="0" applyNumberFormat="1" applyFont="1" applyFill="1" applyBorder="1" applyAlignment="1" applyProtection="1">
      <alignment horizontal="center" vertical="center"/>
    </xf>
    <xf numFmtId="2" fontId="25" fillId="0" borderId="3" xfId="0" applyNumberFormat="1" applyFont="1" applyFill="1" applyBorder="1" applyAlignment="1" applyProtection="1">
      <alignment horizontal="center" vertical="center"/>
    </xf>
    <xf numFmtId="2" fontId="25" fillId="0" borderId="5" xfId="0" applyNumberFormat="1" applyFont="1" applyFill="1" applyBorder="1" applyAlignment="1" applyProtection="1">
      <alignment horizontal="center" vertical="center"/>
    </xf>
    <xf numFmtId="0" fontId="5" fillId="8" borderId="41" xfId="0" applyFont="1" applyFill="1" applyBorder="1" applyProtection="1"/>
    <xf numFmtId="2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Protection="1"/>
    <xf numFmtId="0" fontId="5" fillId="8" borderId="5" xfId="0" applyFont="1" applyFill="1" applyBorder="1" applyAlignment="1" applyProtection="1">
      <alignment horizontal="center"/>
    </xf>
    <xf numFmtId="0" fontId="5" fillId="4" borderId="54" xfId="0" applyFont="1" applyFill="1" applyBorder="1" applyAlignment="1" applyProtection="1">
      <alignment horizontal="center" wrapText="1"/>
    </xf>
    <xf numFmtId="0" fontId="5" fillId="4" borderId="66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wrapText="1"/>
    </xf>
    <xf numFmtId="0" fontId="5" fillId="0" borderId="55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wrapText="1"/>
    </xf>
    <xf numFmtId="0" fontId="5" fillId="0" borderId="67" xfId="0" applyFont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56" xfId="0" applyFont="1" applyBorder="1" applyAlignment="1" applyProtection="1">
      <alignment horizontal="center" vertical="center"/>
    </xf>
    <xf numFmtId="0" fontId="5" fillId="8" borderId="43" xfId="0" applyFont="1" applyFill="1" applyBorder="1" applyAlignment="1" applyProtection="1">
      <alignment horizontal="center"/>
    </xf>
    <xf numFmtId="2" fontId="25" fillId="0" borderId="44" xfId="0" applyNumberFormat="1" applyFont="1" applyFill="1" applyBorder="1" applyAlignment="1" applyProtection="1">
      <alignment horizontal="center" vertical="center"/>
    </xf>
    <xf numFmtId="2" fontId="25" fillId="0" borderId="53" xfId="0" applyNumberFormat="1" applyFont="1" applyFill="1" applyBorder="1" applyAlignment="1" applyProtection="1">
      <alignment horizontal="center" vertical="center"/>
    </xf>
    <xf numFmtId="2" fontId="25" fillId="0" borderId="43" xfId="0" applyNumberFormat="1" applyFont="1" applyFill="1" applyBorder="1" applyAlignment="1" applyProtection="1">
      <alignment horizontal="center" vertical="center"/>
    </xf>
    <xf numFmtId="0" fontId="0" fillId="0" borderId="39" xfId="0" applyBorder="1" applyAlignment="1" applyProtection="1">
      <alignment horizontal="left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2" fontId="15" fillId="0" borderId="4" xfId="0" applyNumberFormat="1" applyFont="1" applyFill="1" applyBorder="1" applyAlignment="1" applyProtection="1">
      <alignment horizontal="center" vertical="center"/>
    </xf>
    <xf numFmtId="2" fontId="1" fillId="0" borderId="53" xfId="0" quotePrefix="1" applyNumberFormat="1" applyFont="1" applyFill="1" applyBorder="1" applyAlignment="1" applyProtection="1">
      <alignment horizontal="center" vertical="center"/>
    </xf>
    <xf numFmtId="0" fontId="0" fillId="0" borderId="41" xfId="0" applyBorder="1" applyProtection="1"/>
    <xf numFmtId="0" fontId="5" fillId="0" borderId="16" xfId="0" applyFont="1" applyFill="1" applyBorder="1" applyAlignment="1" applyProtection="1">
      <alignment horizontal="center" vertical="center" wrapText="1"/>
    </xf>
    <xf numFmtId="2" fontId="15" fillId="0" borderId="6" xfId="0" applyNumberFormat="1" applyFont="1" applyFill="1" applyBorder="1" applyAlignment="1" applyProtection="1">
      <alignment horizontal="center" vertical="center"/>
    </xf>
    <xf numFmtId="0" fontId="5" fillId="8" borderId="4" xfId="0" applyFont="1" applyFill="1" applyBorder="1" applyAlignment="1" applyProtection="1">
      <alignment horizontal="center"/>
    </xf>
    <xf numFmtId="2" fontId="25" fillId="0" borderId="62" xfId="0" applyNumberFormat="1" applyFont="1" applyFill="1" applyBorder="1" applyAlignment="1" applyProtection="1">
      <alignment horizontal="center" vertical="center"/>
    </xf>
    <xf numFmtId="2" fontId="25" fillId="0" borderId="19" xfId="0" applyNumberFormat="1" applyFont="1" applyFill="1" applyBorder="1" applyAlignment="1" applyProtection="1">
      <alignment horizontal="center" vertical="center"/>
    </xf>
    <xf numFmtId="2" fontId="25" fillId="0" borderId="4" xfId="0" applyNumberFormat="1" applyFont="1" applyFill="1" applyBorder="1" applyAlignment="1" applyProtection="1">
      <alignment horizontal="center" vertical="center"/>
    </xf>
    <xf numFmtId="0" fontId="5" fillId="8" borderId="6" xfId="0" applyFont="1" applyFill="1" applyBorder="1" applyAlignment="1" applyProtection="1">
      <alignment horizontal="center"/>
    </xf>
    <xf numFmtId="2" fontId="25" fillId="0" borderId="38" xfId="0" applyNumberFormat="1" applyFont="1" applyFill="1" applyBorder="1" applyAlignment="1" applyProtection="1">
      <alignment horizontal="center" vertical="center"/>
    </xf>
    <xf numFmtId="2" fontId="25" fillId="0" borderId="16" xfId="0" applyNumberFormat="1" applyFont="1" applyFill="1" applyBorder="1" applyAlignment="1" applyProtection="1">
      <alignment horizontal="center" vertical="center"/>
    </xf>
    <xf numFmtId="2" fontId="25" fillId="0" borderId="6" xfId="0" applyNumberFormat="1" applyFont="1" applyFill="1" applyBorder="1" applyAlignment="1" applyProtection="1">
      <alignment horizontal="center" vertical="center"/>
    </xf>
    <xf numFmtId="2" fontId="10" fillId="3" borderId="5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</xf>
    <xf numFmtId="0" fontId="2" fillId="4" borderId="8" xfId="0" applyFont="1" applyFill="1" applyBorder="1" applyProtection="1"/>
    <xf numFmtId="0" fontId="2" fillId="4" borderId="9" xfId="0" applyFont="1" applyFill="1" applyBorder="1" applyProtection="1"/>
    <xf numFmtId="0" fontId="2" fillId="4" borderId="9" xfId="0" applyFont="1" applyFill="1" applyBorder="1" applyAlignment="1" applyProtection="1">
      <alignment horizontal="center"/>
    </xf>
    <xf numFmtId="0" fontId="2" fillId="4" borderId="20" xfId="0" applyFont="1" applyFill="1" applyBorder="1" applyAlignment="1" applyProtection="1">
      <alignment horizontal="center"/>
    </xf>
    <xf numFmtId="0" fontId="2" fillId="4" borderId="10" xfId="0" applyFont="1" applyFill="1" applyBorder="1" applyAlignment="1" applyProtection="1">
      <alignment horizontal="center"/>
    </xf>
    <xf numFmtId="0" fontId="2" fillId="4" borderId="11" xfId="0" applyFont="1" applyFill="1" applyBorder="1" applyProtection="1"/>
    <xf numFmtId="0" fontId="2" fillId="4" borderId="2" xfId="0" applyFont="1" applyFill="1" applyBorder="1" applyProtection="1"/>
    <xf numFmtId="0" fontId="2" fillId="4" borderId="2" xfId="0" applyFont="1" applyFill="1" applyBorder="1" applyAlignment="1" applyProtection="1">
      <alignment horizontal="center"/>
    </xf>
    <xf numFmtId="0" fontId="6" fillId="3" borderId="21" xfId="0" applyFont="1" applyFill="1" applyBorder="1" applyAlignment="1" applyProtection="1">
      <alignment horizontal="center"/>
      <protection locked="0"/>
    </xf>
    <xf numFmtId="0" fontId="6" fillId="3" borderId="2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/>
      <protection locked="0"/>
    </xf>
    <xf numFmtId="0" fontId="0" fillId="8" borderId="0" xfId="0" applyFill="1" applyBorder="1" applyProtection="1"/>
    <xf numFmtId="0" fontId="0" fillId="8" borderId="0" xfId="0" applyFill="1" applyBorder="1" applyAlignment="1" applyProtection="1">
      <alignment horizontal="center"/>
    </xf>
    <xf numFmtId="0" fontId="7" fillId="3" borderId="22" xfId="0" applyFont="1" applyFill="1" applyBorder="1" applyAlignment="1" applyProtection="1">
      <alignment horizontal="center"/>
      <protection locked="0"/>
    </xf>
    <xf numFmtId="0" fontId="7" fillId="3" borderId="0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0" fontId="7" fillId="3" borderId="13" xfId="0" applyFont="1" applyFill="1" applyBorder="1" applyAlignment="1" applyProtection="1">
      <alignment horizontal="center"/>
      <protection locked="0"/>
    </xf>
    <xf numFmtId="0" fontId="5" fillId="8" borderId="45" xfId="0" applyFont="1" applyFill="1" applyBorder="1" applyProtection="1"/>
    <xf numFmtId="0" fontId="5" fillId="8" borderId="0" xfId="0" applyFont="1" applyFill="1" applyBorder="1" applyProtection="1"/>
    <xf numFmtId="1" fontId="7" fillId="3" borderId="22" xfId="0" applyNumberFormat="1" applyFont="1" applyFill="1" applyBorder="1" applyAlignment="1" applyProtection="1">
      <alignment horizontal="center"/>
      <protection locked="0"/>
    </xf>
    <xf numFmtId="1" fontId="7" fillId="3" borderId="0" xfId="0" applyNumberFormat="1" applyFont="1" applyFill="1" applyBorder="1" applyAlignment="1" applyProtection="1">
      <alignment horizontal="center"/>
      <protection locked="0"/>
    </xf>
    <xf numFmtId="0" fontId="5" fillId="8" borderId="49" xfId="0" applyFont="1" applyFill="1" applyBorder="1" applyProtection="1"/>
    <xf numFmtId="0" fontId="5" fillId="8" borderId="1" xfId="0" applyFont="1" applyFill="1" applyBorder="1" applyProtection="1"/>
    <xf numFmtId="0" fontId="0" fillId="8" borderId="1" xfId="0" applyFill="1" applyBorder="1" applyAlignment="1" applyProtection="1">
      <alignment horizontal="center"/>
    </xf>
    <xf numFmtId="0" fontId="7" fillId="3" borderId="23" xfId="0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  <protection locked="0"/>
    </xf>
    <xf numFmtId="0" fontId="7" fillId="3" borderId="14" xfId="0" applyFont="1" applyFill="1" applyBorder="1" applyAlignment="1" applyProtection="1">
      <alignment horizontal="center"/>
      <protection locked="0"/>
    </xf>
    <xf numFmtId="165" fontId="7" fillId="3" borderId="0" xfId="0" applyNumberFormat="1" applyFont="1" applyFill="1" applyBorder="1" applyAlignment="1" applyProtection="1">
      <alignment horizontal="center"/>
      <protection locked="0"/>
    </xf>
    <xf numFmtId="0" fontId="5" fillId="9" borderId="8" xfId="0" applyFont="1" applyFill="1" applyBorder="1" applyProtection="1"/>
    <xf numFmtId="0" fontId="5" fillId="9" borderId="9" xfId="0" applyFont="1" applyFill="1" applyBorder="1" applyProtection="1"/>
    <xf numFmtId="0" fontId="0" fillId="9" borderId="9" xfId="0" applyFill="1" applyBorder="1" applyAlignment="1" applyProtection="1">
      <alignment horizontal="center"/>
    </xf>
    <xf numFmtId="165" fontId="2" fillId="13" borderId="20" xfId="0" applyNumberFormat="1" applyFont="1" applyFill="1" applyBorder="1" applyAlignment="1" applyProtection="1">
      <alignment horizontal="center"/>
    </xf>
    <xf numFmtId="165" fontId="2" fillId="13" borderId="9" xfId="0" applyNumberFormat="1" applyFont="1" applyFill="1" applyBorder="1" applyAlignment="1" applyProtection="1">
      <alignment horizontal="center"/>
    </xf>
    <xf numFmtId="165" fontId="2" fillId="13" borderId="10" xfId="0" applyNumberFormat="1" applyFont="1" applyFill="1" applyBorder="1" applyAlignment="1" applyProtection="1">
      <alignment horizontal="center"/>
    </xf>
    <xf numFmtId="0" fontId="5" fillId="9" borderId="26" xfId="0" applyFont="1" applyFill="1" applyBorder="1" applyProtection="1"/>
    <xf numFmtId="0" fontId="5" fillId="9" borderId="15" xfId="0" applyFont="1" applyFill="1" applyBorder="1" applyProtection="1"/>
    <xf numFmtId="0" fontId="5" fillId="9" borderId="15" xfId="0" applyFont="1" applyFill="1" applyBorder="1" applyAlignment="1" applyProtection="1">
      <alignment horizontal="center"/>
    </xf>
    <xf numFmtId="165" fontId="2" fillId="13" borderId="27" xfId="0" applyNumberFormat="1" applyFont="1" applyFill="1" applyBorder="1" applyAlignment="1" applyProtection="1">
      <alignment horizontal="center"/>
    </xf>
    <xf numFmtId="165" fontId="2" fillId="13" borderId="15" xfId="0" applyNumberFormat="1" applyFont="1" applyFill="1" applyBorder="1" applyAlignment="1" applyProtection="1">
      <alignment horizontal="center"/>
    </xf>
    <xf numFmtId="165" fontId="2" fillId="13" borderId="24" xfId="0" applyNumberFormat="1" applyFont="1" applyFill="1" applyBorder="1" applyAlignment="1" applyProtection="1">
      <alignment horizontal="center"/>
    </xf>
    <xf numFmtId="165" fontId="11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8" borderId="19" xfId="0" applyFont="1" applyFill="1" applyBorder="1" applyAlignment="1" applyProtection="1">
      <alignment horizontal="center"/>
    </xf>
    <xf numFmtId="0" fontId="5" fillId="8" borderId="19" xfId="0" applyFont="1" applyFill="1" applyBorder="1" applyAlignment="1" applyProtection="1">
      <alignment horizontal="center"/>
    </xf>
    <xf numFmtId="165" fontId="0" fillId="8" borderId="19" xfId="0" applyNumberFormat="1" applyFill="1" applyBorder="1" applyAlignment="1" applyProtection="1">
      <alignment horizontal="center"/>
    </xf>
    <xf numFmtId="165" fontId="0" fillId="8" borderId="4" xfId="0" applyNumberFormat="1" applyFill="1" applyBorder="1" applyAlignment="1" applyProtection="1">
      <alignment horizontal="center"/>
    </xf>
    <xf numFmtId="0" fontId="2" fillId="8" borderId="3" xfId="0" applyFont="1" applyFill="1" applyBorder="1" applyAlignment="1" applyProtection="1">
      <alignment horizontal="center"/>
    </xf>
    <xf numFmtId="165" fontId="2" fillId="5" borderId="3" xfId="0" applyNumberFormat="1" applyFont="1" applyFill="1" applyBorder="1" applyAlignment="1" applyProtection="1">
      <alignment horizontal="center"/>
      <protection locked="0"/>
    </xf>
    <xf numFmtId="165" fontId="2" fillId="5" borderId="5" xfId="0" applyNumberFormat="1" applyFont="1" applyFill="1" applyBorder="1" applyAlignment="1" applyProtection="1">
      <alignment horizontal="center"/>
      <protection locked="0"/>
    </xf>
    <xf numFmtId="0" fontId="5" fillId="8" borderId="3" xfId="0" applyFont="1" applyFill="1" applyBorder="1" applyAlignment="1" applyProtection="1">
      <alignment horizontal="center"/>
    </xf>
    <xf numFmtId="165" fontId="0" fillId="0" borderId="3" xfId="0" applyNumberFormat="1" applyFill="1" applyBorder="1" applyAlignment="1" applyProtection="1">
      <alignment horizontal="center"/>
    </xf>
    <xf numFmtId="165" fontId="0" fillId="0" borderId="5" xfId="0" applyNumberFormat="1" applyFill="1" applyBorder="1" applyAlignment="1" applyProtection="1">
      <alignment horizontal="center"/>
    </xf>
    <xf numFmtId="165" fontId="0" fillId="8" borderId="16" xfId="0" applyNumberFormat="1" applyFill="1" applyBorder="1" applyAlignment="1" applyProtection="1">
      <alignment horizontal="center"/>
    </xf>
    <xf numFmtId="165" fontId="0" fillId="8" borderId="6" xfId="0" applyNumberFormat="1" applyFill="1" applyBorder="1" applyAlignment="1" applyProtection="1">
      <alignment horizontal="center"/>
    </xf>
    <xf numFmtId="165" fontId="0" fillId="0" borderId="0" xfId="0" applyNumberForma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165" fontId="0" fillId="4" borderId="20" xfId="0" applyNumberFormat="1" applyFill="1" applyBorder="1" applyAlignment="1" applyProtection="1">
      <alignment horizontal="center"/>
    </xf>
    <xf numFmtId="165" fontId="0" fillId="4" borderId="9" xfId="0" applyNumberFormat="1" applyFill="1" applyBorder="1" applyAlignment="1" applyProtection="1">
      <alignment horizontal="center"/>
    </xf>
    <xf numFmtId="165" fontId="0" fillId="4" borderId="10" xfId="0" applyNumberFormat="1" applyFill="1" applyBorder="1" applyAlignment="1" applyProtection="1">
      <alignment horizontal="center"/>
    </xf>
    <xf numFmtId="0" fontId="5" fillId="4" borderId="11" xfId="0" applyFont="1" applyFill="1" applyBorder="1" applyAlignment="1" applyProtection="1">
      <alignment horizontal="left"/>
    </xf>
    <xf numFmtId="0" fontId="0" fillId="4" borderId="2" xfId="0" applyFill="1" applyBorder="1" applyProtection="1"/>
    <xf numFmtId="0" fontId="5" fillId="4" borderId="2" xfId="0" applyFont="1" applyFill="1" applyBorder="1" applyAlignment="1" applyProtection="1">
      <alignment horizontal="center"/>
    </xf>
    <xf numFmtId="1" fontId="0" fillId="0" borderId="21" xfId="0" applyNumberFormat="1" applyBorder="1" applyAlignment="1" applyProtection="1">
      <alignment horizontal="center"/>
    </xf>
    <xf numFmtId="1" fontId="0" fillId="0" borderId="5" xfId="0" applyNumberFormat="1" applyBorder="1" applyAlignment="1" applyProtection="1">
      <alignment horizontal="center"/>
    </xf>
    <xf numFmtId="0" fontId="5" fillId="4" borderId="26" xfId="0" applyFont="1" applyFill="1" applyBorder="1" applyAlignment="1" applyProtection="1">
      <alignment horizontal="left"/>
    </xf>
    <xf numFmtId="0" fontId="0" fillId="4" borderId="15" xfId="0" applyFill="1" applyBorder="1" applyProtection="1"/>
    <xf numFmtId="0" fontId="5" fillId="4" borderId="15" xfId="0" applyFont="1" applyFill="1" applyBorder="1" applyAlignment="1" applyProtection="1">
      <alignment horizontal="center"/>
    </xf>
    <xf numFmtId="1" fontId="0" fillId="0" borderId="27" xfId="0" applyNumberFormat="1" applyBorder="1" applyAlignment="1" applyProtection="1">
      <alignment horizontal="center"/>
    </xf>
    <xf numFmtId="1" fontId="0" fillId="0" borderId="28" xfId="0" applyNumberFormat="1" applyBorder="1" applyAlignment="1" applyProtection="1">
      <alignment horizontal="center"/>
    </xf>
    <xf numFmtId="1" fontId="2" fillId="13" borderId="21" xfId="0" applyNumberFormat="1" applyFont="1" applyFill="1" applyBorder="1" applyAlignment="1" applyProtection="1">
      <alignment horizontal="center"/>
    </xf>
    <xf numFmtId="1" fontId="2" fillId="13" borderId="5" xfId="0" applyNumberFormat="1" applyFont="1" applyFill="1" applyBorder="1" applyAlignment="1" applyProtection="1">
      <alignment horizontal="center"/>
    </xf>
    <xf numFmtId="1" fontId="2" fillId="13" borderId="27" xfId="0" applyNumberFormat="1" applyFont="1" applyFill="1" applyBorder="1" applyAlignment="1" applyProtection="1">
      <alignment horizontal="center"/>
    </xf>
    <xf numFmtId="1" fontId="2" fillId="13" borderId="28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5" fontId="0" fillId="0" borderId="0" xfId="0" applyNumberFormat="1" applyFill="1" applyAlignment="1" applyProtection="1">
      <alignment horizontal="center"/>
    </xf>
    <xf numFmtId="0" fontId="8" fillId="4" borderId="17" xfId="0" applyFont="1" applyFill="1" applyBorder="1" applyProtection="1"/>
    <xf numFmtId="0" fontId="8" fillId="4" borderId="18" xfId="0" applyFont="1" applyFill="1" applyBorder="1" applyProtection="1"/>
    <xf numFmtId="0" fontId="9" fillId="4" borderId="19" xfId="0" applyFont="1" applyFill="1" applyBorder="1" applyAlignment="1" applyProtection="1">
      <alignment horizontal="center"/>
    </xf>
    <xf numFmtId="165" fontId="17" fillId="4" borderId="19" xfId="0" applyNumberFormat="1" applyFont="1" applyFill="1" applyBorder="1" applyAlignment="1" applyProtection="1">
      <alignment horizontal="center" wrapText="1"/>
    </xf>
    <xf numFmtId="165" fontId="17" fillId="4" borderId="4" xfId="0" applyNumberFormat="1" applyFont="1" applyFill="1" applyBorder="1" applyAlignment="1" applyProtection="1">
      <alignment horizontal="center" wrapText="1"/>
    </xf>
    <xf numFmtId="0" fontId="8" fillId="0" borderId="0" xfId="0" applyFont="1" applyProtection="1"/>
    <xf numFmtId="0" fontId="0" fillId="4" borderId="3" xfId="0" applyFill="1" applyBorder="1" applyAlignment="1" applyProtection="1">
      <alignment horizontal="center"/>
    </xf>
    <xf numFmtId="165" fontId="2" fillId="6" borderId="3" xfId="0" applyNumberFormat="1" applyFont="1" applyFill="1" applyBorder="1" applyAlignment="1" applyProtection="1">
      <alignment horizontal="center"/>
    </xf>
    <xf numFmtId="0" fontId="0" fillId="4" borderId="16" xfId="0" applyFill="1" applyBorder="1" applyAlignment="1" applyProtection="1">
      <alignment horizontal="center"/>
    </xf>
    <xf numFmtId="165" fontId="2" fillId="6" borderId="16" xfId="0" applyNumberFormat="1" applyFont="1" applyFill="1" applyBorder="1" applyAlignment="1" applyProtection="1">
      <alignment horizontal="center"/>
    </xf>
    <xf numFmtId="165" fontId="0" fillId="0" borderId="16" xfId="0" applyNumberFormat="1" applyFill="1" applyBorder="1" applyAlignment="1" applyProtection="1">
      <alignment horizontal="center"/>
    </xf>
    <xf numFmtId="165" fontId="0" fillId="0" borderId="6" xfId="0" applyNumberFormat="1" applyFill="1" applyBorder="1" applyAlignment="1" applyProtection="1">
      <alignment horizontal="center"/>
    </xf>
    <xf numFmtId="0" fontId="11" fillId="0" borderId="0" xfId="0" applyFont="1" applyProtection="1"/>
    <xf numFmtId="0" fontId="2" fillId="4" borderId="34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12" xfId="0" applyFont="1" applyFill="1" applyBorder="1" applyAlignment="1" applyProtection="1">
      <alignment horizontal="center"/>
    </xf>
    <xf numFmtId="0" fontId="0" fillId="4" borderId="35" xfId="0" applyFill="1" applyBorder="1" applyAlignment="1" applyProtection="1">
      <alignment horizontal="center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0" fillId="8" borderId="26" xfId="0" applyFill="1" applyBorder="1" applyProtection="1"/>
    <xf numFmtId="0" fontId="0" fillId="8" borderId="15" xfId="0" applyFill="1" applyBorder="1" applyProtection="1"/>
    <xf numFmtId="0" fontId="0" fillId="4" borderId="36" xfId="0" applyFill="1" applyBorder="1" applyAlignment="1" applyProtection="1">
      <alignment horizontal="center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7" fillId="3" borderId="24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 vertical="center"/>
    </xf>
    <xf numFmtId="165" fontId="7" fillId="0" borderId="0" xfId="0" applyNumberFormat="1" applyFont="1" applyFill="1" applyBorder="1" applyAlignment="1" applyProtection="1">
      <alignment horizontal="center" vertical="center"/>
    </xf>
    <xf numFmtId="0" fontId="0" fillId="9" borderId="9" xfId="0" applyFill="1" applyBorder="1" applyProtection="1"/>
    <xf numFmtId="0" fontId="5" fillId="9" borderId="9" xfId="0" applyFont="1" applyFill="1" applyBorder="1" applyAlignment="1" applyProtection="1">
      <alignment horizontal="center"/>
    </xf>
    <xf numFmtId="167" fontId="7" fillId="5" borderId="9" xfId="0" applyNumberFormat="1" applyFont="1" applyFill="1" applyBorder="1" applyAlignment="1" applyProtection="1">
      <alignment horizontal="center" vertical="center"/>
      <protection locked="0"/>
    </xf>
    <xf numFmtId="167" fontId="7" fillId="5" borderId="10" xfId="0" applyNumberFormat="1" applyFont="1" applyFill="1" applyBorder="1" applyAlignment="1" applyProtection="1">
      <alignment horizontal="center" vertical="center"/>
      <protection locked="0"/>
    </xf>
    <xf numFmtId="0" fontId="5" fillId="11" borderId="0" xfId="0" applyFont="1" applyFill="1" applyBorder="1" applyAlignment="1" applyProtection="1">
      <alignment horizontal="center"/>
    </xf>
    <xf numFmtId="165" fontId="7" fillId="5" borderId="22" xfId="0" applyNumberFormat="1" applyFont="1" applyFill="1" applyBorder="1" applyAlignment="1" applyProtection="1">
      <alignment horizontal="center" vertical="center"/>
      <protection locked="0"/>
    </xf>
    <xf numFmtId="165" fontId="7" fillId="5" borderId="0" xfId="0" applyNumberFormat="1" applyFont="1" applyFill="1" applyBorder="1" applyAlignment="1" applyProtection="1">
      <alignment horizontal="center" vertical="center"/>
      <protection locked="0"/>
    </xf>
    <xf numFmtId="165" fontId="7" fillId="5" borderId="13" xfId="0" applyNumberFormat="1" applyFont="1" applyFill="1" applyBorder="1" applyAlignment="1" applyProtection="1">
      <alignment horizontal="center" vertical="center"/>
      <protection locked="0"/>
    </xf>
    <xf numFmtId="165" fontId="1" fillId="5" borderId="0" xfId="0" applyNumberFormat="1" applyFont="1" applyFill="1" applyBorder="1" applyAlignment="1" applyProtection="1">
      <alignment horizontal="center" vertical="center"/>
      <protection locked="0"/>
    </xf>
    <xf numFmtId="165" fontId="1" fillId="5" borderId="13" xfId="0" applyNumberFormat="1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Border="1" applyAlignment="1" applyProtection="1">
      <alignment horizontal="center"/>
    </xf>
    <xf numFmtId="2" fontId="7" fillId="5" borderId="22" xfId="0" applyNumberFormat="1" applyFont="1" applyFill="1" applyBorder="1" applyAlignment="1" applyProtection="1">
      <alignment horizontal="center" vertical="center"/>
      <protection locked="0"/>
    </xf>
    <xf numFmtId="2" fontId="7" fillId="5" borderId="0" xfId="0" applyNumberFormat="1" applyFont="1" applyFill="1" applyBorder="1" applyAlignment="1" applyProtection="1">
      <alignment horizontal="center" vertical="center"/>
      <protection locked="0"/>
    </xf>
    <xf numFmtId="2" fontId="7" fillId="5" borderId="13" xfId="0" applyNumberFormat="1" applyFont="1" applyFill="1" applyBorder="1" applyAlignment="1" applyProtection="1">
      <alignment horizontal="center" vertical="center"/>
      <protection locked="0"/>
    </xf>
    <xf numFmtId="0" fontId="21" fillId="4" borderId="1" xfId="0" applyFont="1" applyFill="1" applyBorder="1" applyAlignment="1" applyProtection="1">
      <alignment horizontal="center"/>
    </xf>
    <xf numFmtId="2" fontId="7" fillId="5" borderId="23" xfId="0" applyNumberFormat="1" applyFont="1" applyFill="1" applyBorder="1" applyAlignment="1" applyProtection="1">
      <alignment horizontal="center" vertical="center"/>
      <protection locked="0"/>
    </xf>
    <xf numFmtId="2" fontId="7" fillId="5" borderId="1" xfId="0" applyNumberFormat="1" applyFont="1" applyFill="1" applyBorder="1" applyAlignment="1" applyProtection="1">
      <alignment horizontal="center" vertical="center"/>
      <protection locked="0"/>
    </xf>
    <xf numFmtId="2" fontId="7" fillId="5" borderId="14" xfId="0" applyNumberFormat="1" applyFont="1" applyFill="1" applyBorder="1" applyAlignment="1" applyProtection="1">
      <alignment horizontal="center" vertical="center"/>
      <protection locked="0"/>
    </xf>
    <xf numFmtId="0" fontId="5" fillId="9" borderId="45" xfId="0" applyFont="1" applyFill="1" applyBorder="1" applyProtection="1"/>
    <xf numFmtId="0" fontId="5" fillId="9" borderId="0" xfId="0" applyFont="1" applyFill="1" applyBorder="1" applyProtection="1"/>
    <xf numFmtId="2" fontId="7" fillId="13" borderId="29" xfId="0" applyNumberFormat="1" applyFont="1" applyFill="1" applyBorder="1" applyAlignment="1" applyProtection="1">
      <alignment horizontal="center" vertical="center"/>
    </xf>
    <xf numFmtId="2" fontId="7" fillId="13" borderId="25" xfId="0" applyNumberFormat="1" applyFont="1" applyFill="1" applyBorder="1" applyAlignment="1" applyProtection="1">
      <alignment horizontal="center" vertical="center"/>
    </xf>
    <xf numFmtId="2" fontId="7" fillId="13" borderId="30" xfId="0" applyNumberFormat="1" applyFont="1" applyFill="1" applyBorder="1" applyAlignment="1" applyProtection="1">
      <alignment horizontal="center" vertical="center"/>
    </xf>
    <xf numFmtId="0" fontId="0" fillId="9" borderId="15" xfId="0" applyFill="1" applyBorder="1" applyProtection="1"/>
    <xf numFmtId="2" fontId="7" fillId="13" borderId="27" xfId="0" applyNumberFormat="1" applyFont="1" applyFill="1" applyBorder="1" applyAlignment="1" applyProtection="1">
      <alignment horizontal="center" vertical="center"/>
    </xf>
    <xf numFmtId="2" fontId="7" fillId="13" borderId="15" xfId="0" applyNumberFormat="1" applyFont="1" applyFill="1" applyBorder="1" applyAlignment="1" applyProtection="1">
      <alignment horizontal="center" vertical="center"/>
    </xf>
    <xf numFmtId="2" fontId="7" fillId="13" borderId="24" xfId="0" applyNumberFormat="1" applyFont="1" applyFill="1" applyBorder="1" applyAlignment="1" applyProtection="1">
      <alignment horizontal="center" vertical="center"/>
    </xf>
    <xf numFmtId="0" fontId="5" fillId="9" borderId="17" xfId="0" applyFont="1" applyFill="1" applyBorder="1" applyProtection="1"/>
    <xf numFmtId="0" fontId="0" fillId="9" borderId="18" xfId="0" applyFill="1" applyBorder="1" applyProtection="1"/>
    <xf numFmtId="0" fontId="5" fillId="9" borderId="69" xfId="0" applyFont="1" applyFill="1" applyBorder="1" applyAlignment="1" applyProtection="1">
      <alignment horizontal="center"/>
    </xf>
    <xf numFmtId="0" fontId="7" fillId="5" borderId="18" xfId="0" applyFont="1" applyFill="1" applyBorder="1" applyAlignment="1" applyProtection="1">
      <alignment horizontal="center" vertical="center"/>
      <protection locked="0"/>
    </xf>
    <xf numFmtId="0" fontId="7" fillId="5" borderId="31" xfId="0" applyFont="1" applyFill="1" applyBorder="1" applyAlignment="1" applyProtection="1">
      <alignment horizontal="center" vertical="center"/>
      <protection locked="0"/>
    </xf>
    <xf numFmtId="0" fontId="0" fillId="9" borderId="0" xfId="0" applyFill="1" applyBorder="1" applyProtection="1"/>
    <xf numFmtId="0" fontId="0" fillId="9" borderId="35" xfId="0" applyFill="1" applyBorder="1" applyAlignment="1" applyProtection="1">
      <alignment horizontal="center"/>
    </xf>
    <xf numFmtId="0" fontId="7" fillId="5" borderId="0" xfId="0" applyFont="1" applyFill="1" applyBorder="1" applyAlignment="1" applyProtection="1">
      <alignment horizontal="center" vertical="center"/>
      <protection locked="0"/>
    </xf>
    <xf numFmtId="0" fontId="7" fillId="5" borderId="13" xfId="0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7" fillId="5" borderId="14" xfId="0" applyFont="1" applyFill="1" applyBorder="1" applyAlignment="1" applyProtection="1">
      <alignment horizontal="center" vertical="center"/>
      <protection locked="0"/>
    </xf>
    <xf numFmtId="165" fontId="7" fillId="0" borderId="1" xfId="0" applyNumberFormat="1" applyFont="1" applyFill="1" applyBorder="1" applyAlignment="1" applyProtection="1">
      <alignment horizontal="center" vertical="center"/>
    </xf>
    <xf numFmtId="165" fontId="7" fillId="0" borderId="14" xfId="0" applyNumberFormat="1" applyFont="1" applyFill="1" applyBorder="1" applyAlignment="1" applyProtection="1">
      <alignment horizontal="center" vertical="center"/>
    </xf>
    <xf numFmtId="0" fontId="1" fillId="4" borderId="35" xfId="0" applyFont="1" applyFill="1" applyBorder="1" applyAlignment="1" applyProtection="1">
      <alignment horizontal="center"/>
    </xf>
    <xf numFmtId="0" fontId="0" fillId="8" borderId="49" xfId="0" applyFill="1" applyBorder="1" applyProtection="1"/>
    <xf numFmtId="0" fontId="0" fillId="8" borderId="1" xfId="0" applyFill="1" applyBorder="1" applyProtection="1"/>
    <xf numFmtId="0" fontId="0" fillId="4" borderId="37" xfId="0" applyFill="1" applyBorder="1" applyAlignment="1" applyProtection="1">
      <alignment horizontal="center"/>
    </xf>
    <xf numFmtId="165" fontId="7" fillId="0" borderId="12" xfId="0" applyNumberFormat="1" applyFont="1" applyFill="1" applyBorder="1" applyAlignment="1" applyProtection="1">
      <alignment horizontal="center" vertical="center"/>
    </xf>
    <xf numFmtId="0" fontId="0" fillId="8" borderId="11" xfId="0" applyFill="1" applyBorder="1" applyProtection="1"/>
    <xf numFmtId="0" fontId="0" fillId="8" borderId="2" xfId="0" applyFill="1" applyBorder="1" applyProtection="1"/>
    <xf numFmtId="0" fontId="0" fillId="4" borderId="34" xfId="0" applyFill="1" applyBorder="1" applyAlignment="1" applyProtection="1">
      <alignment horizontal="center"/>
    </xf>
    <xf numFmtId="0" fontId="5" fillId="9" borderId="49" xfId="0" applyFont="1" applyFill="1" applyBorder="1" applyProtection="1"/>
    <xf numFmtId="0" fontId="0" fillId="9" borderId="1" xfId="0" applyFill="1" applyBorder="1" applyProtection="1"/>
    <xf numFmtId="0" fontId="0" fillId="9" borderId="37" xfId="0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2" fillId="4" borderId="32" xfId="0" applyFont="1" applyFill="1" applyBorder="1" applyProtection="1"/>
    <xf numFmtId="0" fontId="2" fillId="4" borderId="33" xfId="0" applyFont="1" applyFill="1" applyBorder="1" applyProtection="1"/>
    <xf numFmtId="0" fontId="2" fillId="4" borderId="38" xfId="0" applyFont="1" applyFill="1" applyBorder="1" applyAlignment="1" applyProtection="1">
      <alignment horizontal="center"/>
    </xf>
    <xf numFmtId="165" fontId="2" fillId="13" borderId="33" xfId="0" applyNumberFormat="1" applyFont="1" applyFill="1" applyBorder="1" applyAlignment="1" applyProtection="1">
      <alignment horizontal="center"/>
    </xf>
    <xf numFmtId="165" fontId="2" fillId="13" borderId="68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5" fillId="9" borderId="19" xfId="0" applyFont="1" applyFill="1" applyBorder="1" applyAlignment="1" applyProtection="1">
      <alignment horizontal="center"/>
    </xf>
    <xf numFmtId="0" fontId="5" fillId="9" borderId="4" xfId="0" applyFont="1" applyFill="1" applyBorder="1" applyAlignment="1" applyProtection="1">
      <alignment horizontal="center"/>
    </xf>
    <xf numFmtId="0" fontId="0" fillId="6" borderId="3" xfId="0" applyFill="1" applyBorder="1" applyAlignment="1" applyProtection="1">
      <alignment horizontal="center"/>
    </xf>
    <xf numFmtId="0" fontId="25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8" fillId="0" borderId="0" xfId="0" applyFont="1" applyProtection="1"/>
    <xf numFmtId="2" fontId="25" fillId="0" borderId="0" xfId="0" applyNumberFormat="1" applyFont="1" applyFill="1" applyBorder="1" applyAlignment="1" applyProtection="1">
      <alignment horizontal="center"/>
    </xf>
    <xf numFmtId="0" fontId="0" fillId="6" borderId="53" xfId="0" applyFill="1" applyBorder="1" applyAlignment="1" applyProtection="1">
      <alignment horizontal="center"/>
    </xf>
    <xf numFmtId="0" fontId="0" fillId="6" borderId="16" xfId="0" applyFill="1" applyBorder="1" applyAlignment="1" applyProtection="1">
      <alignment horizontal="center"/>
    </xf>
    <xf numFmtId="0" fontId="6" fillId="0" borderId="21" xfId="0" applyFont="1" applyFill="1" applyBorder="1" applyAlignment="1" applyProtection="1">
      <alignment horizontal="center"/>
    </xf>
    <xf numFmtId="0" fontId="6" fillId="0" borderId="25" xfId="0" applyFont="1" applyFill="1" applyBorder="1" applyAlignment="1" applyProtection="1">
      <alignment horizontal="center"/>
    </xf>
    <xf numFmtId="0" fontId="0" fillId="4" borderId="7" xfId="0" applyFill="1" applyBorder="1" applyProtection="1"/>
    <xf numFmtId="0" fontId="0" fillId="4" borderId="25" xfId="0" applyFill="1" applyBorder="1" applyAlignment="1" applyProtection="1">
      <alignment horizontal="center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0" fontId="7" fillId="3" borderId="25" xfId="0" applyFont="1" applyFill="1" applyBorder="1" applyAlignment="1" applyProtection="1">
      <alignment horizontal="center" vertical="center"/>
      <protection locked="0"/>
    </xf>
    <xf numFmtId="0" fontId="7" fillId="3" borderId="30" xfId="0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center"/>
    </xf>
    <xf numFmtId="3" fontId="7" fillId="0" borderId="22" xfId="0" applyNumberFormat="1" applyFont="1" applyFill="1" applyBorder="1" applyAlignment="1" applyProtection="1">
      <alignment horizontal="center" vertical="center"/>
    </xf>
    <xf numFmtId="3" fontId="7" fillId="0" borderId="0" xfId="0" applyNumberFormat="1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/>
    </xf>
    <xf numFmtId="1" fontId="7" fillId="0" borderId="13" xfId="0" applyNumberFormat="1" applyFont="1" applyFill="1" applyBorder="1" applyAlignment="1" applyProtection="1">
      <alignment horizontal="center" vertical="center"/>
    </xf>
    <xf numFmtId="3" fontId="7" fillId="3" borderId="23" xfId="0" applyNumberFormat="1" applyFont="1" applyFill="1" applyBorder="1" applyAlignment="1" applyProtection="1">
      <alignment horizontal="center" vertical="center"/>
      <protection locked="0"/>
    </xf>
    <xf numFmtId="3" fontId="7" fillId="3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14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Protection="1"/>
    <xf numFmtId="0" fontId="2" fillId="4" borderId="26" xfId="0" applyFont="1" applyFill="1" applyBorder="1" applyProtection="1"/>
    <xf numFmtId="3" fontId="2" fillId="13" borderId="27" xfId="0" applyNumberFormat="1" applyFont="1" applyFill="1" applyBorder="1" applyAlignment="1" applyProtection="1">
      <alignment horizontal="center" vertical="center"/>
    </xf>
    <xf numFmtId="3" fontId="2" fillId="13" borderId="15" xfId="0" applyNumberFormat="1" applyFont="1" applyFill="1" applyBorder="1" applyAlignment="1" applyProtection="1">
      <alignment horizontal="center" vertical="center"/>
    </xf>
    <xf numFmtId="3" fontId="2" fillId="13" borderId="24" xfId="0" applyNumberFormat="1" applyFont="1" applyFill="1" applyBorder="1" applyAlignment="1" applyProtection="1">
      <alignment horizontal="center" vertical="center"/>
    </xf>
    <xf numFmtId="1" fontId="0" fillId="0" borderId="0" xfId="0" applyNumberFormat="1" applyProtection="1"/>
    <xf numFmtId="3" fontId="0" fillId="0" borderId="0" xfId="0" applyNumberFormat="1" applyProtection="1"/>
    <xf numFmtId="0" fontId="0" fillId="0" borderId="0" xfId="0" applyProtection="1">
      <protection locked="0"/>
    </xf>
    <xf numFmtId="0" fontId="2" fillId="9" borderId="8" xfId="0" applyFont="1" applyFill="1" applyBorder="1" applyProtection="1"/>
    <xf numFmtId="0" fontId="2" fillId="9" borderId="9" xfId="0" applyFont="1" applyFill="1" applyBorder="1" applyProtection="1"/>
    <xf numFmtId="0" fontId="2" fillId="9" borderId="9" xfId="0" applyFont="1" applyFill="1" applyBorder="1" applyAlignment="1" applyProtection="1">
      <alignment horizontal="center"/>
    </xf>
    <xf numFmtId="0" fontId="2" fillId="9" borderId="20" xfId="0" applyFont="1" applyFill="1" applyBorder="1" applyAlignment="1" applyProtection="1">
      <alignment horizontal="center"/>
    </xf>
    <xf numFmtId="0" fontId="2" fillId="9" borderId="10" xfId="0" applyFont="1" applyFill="1" applyBorder="1" applyAlignment="1" applyProtection="1">
      <alignment horizontal="center"/>
    </xf>
    <xf numFmtId="0" fontId="2" fillId="9" borderId="11" xfId="0" applyFont="1" applyFill="1" applyBorder="1" applyProtection="1"/>
    <xf numFmtId="0" fontId="2" fillId="9" borderId="2" xfId="0" applyFont="1" applyFill="1" applyBorder="1" applyProtection="1"/>
    <xf numFmtId="0" fontId="2" fillId="9" borderId="2" xfId="0" applyFont="1" applyFill="1" applyBorder="1" applyAlignment="1" applyProtection="1">
      <alignment horizontal="center"/>
    </xf>
    <xf numFmtId="0" fontId="6" fillId="9" borderId="3" xfId="0" applyFont="1" applyFill="1" applyBorder="1" applyAlignment="1" applyProtection="1">
      <alignment horizontal="center"/>
    </xf>
    <xf numFmtId="0" fontId="6" fillId="9" borderId="12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 vertical="center"/>
    </xf>
    <xf numFmtId="0" fontId="7" fillId="0" borderId="5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51" xfId="0" applyFont="1" applyFill="1" applyBorder="1" applyAlignment="1" applyProtection="1">
      <alignment horizontal="center" vertical="center"/>
    </xf>
    <xf numFmtId="0" fontId="5" fillId="8" borderId="26" xfId="0" applyFont="1" applyFill="1" applyBorder="1" applyProtection="1"/>
    <xf numFmtId="0" fontId="5" fillId="8" borderId="15" xfId="0" applyFont="1" applyFill="1" applyBorder="1" applyAlignment="1" applyProtection="1">
      <alignment horizontal="center"/>
    </xf>
    <xf numFmtId="165" fontId="7" fillId="0" borderId="16" xfId="0" applyNumberFormat="1" applyFont="1" applyFill="1" applyBorder="1" applyAlignment="1" applyProtection="1">
      <alignment horizontal="center" vertical="center"/>
    </xf>
    <xf numFmtId="165" fontId="7" fillId="0" borderId="6" xfId="0" applyNumberFormat="1" applyFont="1" applyFill="1" applyBorder="1" applyAlignment="1" applyProtection="1">
      <alignment horizontal="center" vertical="center"/>
    </xf>
    <xf numFmtId="0" fontId="6" fillId="9" borderId="58" xfId="0" applyFont="1" applyFill="1" applyBorder="1" applyAlignment="1" applyProtection="1">
      <alignment horizontal="center"/>
    </xf>
    <xf numFmtId="0" fontId="6" fillId="9" borderId="59" xfId="0" applyFont="1" applyFill="1" applyBorder="1" applyAlignment="1" applyProtection="1">
      <alignment horizontal="center"/>
    </xf>
    <xf numFmtId="0" fontId="6" fillId="9" borderId="60" xfId="0" applyFont="1" applyFill="1" applyBorder="1" applyAlignment="1" applyProtection="1">
      <alignment horizontal="center"/>
    </xf>
    <xf numFmtId="0" fontId="5" fillId="8" borderId="8" xfId="0" applyFont="1" applyFill="1" applyBorder="1" applyProtection="1"/>
    <xf numFmtId="0" fontId="5" fillId="8" borderId="9" xfId="0" applyFont="1" applyFill="1" applyBorder="1" applyProtection="1"/>
    <xf numFmtId="0" fontId="5" fillId="8" borderId="9" xfId="0" applyFont="1" applyFill="1" applyBorder="1" applyAlignment="1" applyProtection="1">
      <alignment horizontal="center"/>
    </xf>
    <xf numFmtId="165" fontId="7" fillId="0" borderId="20" xfId="0" applyNumberFormat="1" applyFont="1" applyFill="1" applyBorder="1" applyAlignment="1" applyProtection="1">
      <alignment horizontal="center" vertical="center"/>
    </xf>
    <xf numFmtId="165" fontId="7" fillId="0" borderId="4" xfId="0" applyNumberFormat="1" applyFont="1" applyFill="1" applyBorder="1" applyAlignment="1" applyProtection="1">
      <alignment horizontal="center" vertical="center"/>
    </xf>
    <xf numFmtId="165" fontId="7" fillId="0" borderId="61" xfId="0" applyNumberFormat="1" applyFont="1" applyFill="1" applyBorder="1" applyAlignment="1" applyProtection="1">
      <alignment horizontal="center" vertical="center"/>
    </xf>
    <xf numFmtId="0" fontId="6" fillId="4" borderId="59" xfId="0" applyFont="1" applyFill="1" applyBorder="1" applyAlignment="1" applyProtection="1">
      <alignment horizontal="center"/>
    </xf>
    <xf numFmtId="0" fontId="6" fillId="4" borderId="60" xfId="0" applyFont="1" applyFill="1" applyBorder="1" applyAlignment="1" applyProtection="1">
      <alignment horizontal="center"/>
    </xf>
    <xf numFmtId="0" fontId="3" fillId="8" borderId="8" xfId="0" applyFont="1" applyFill="1" applyBorder="1" applyAlignment="1" applyProtection="1">
      <alignment horizontal="left"/>
    </xf>
    <xf numFmtId="0" fontId="0" fillId="8" borderId="9" xfId="0" applyFill="1" applyBorder="1" applyAlignment="1" applyProtection="1">
      <alignment horizontal="left"/>
    </xf>
    <xf numFmtId="0" fontId="5" fillId="8" borderId="62" xfId="0" applyFont="1" applyFill="1" applyBorder="1" applyAlignment="1" applyProtection="1">
      <alignment horizontal="center"/>
    </xf>
    <xf numFmtId="0" fontId="3" fillId="8" borderId="49" xfId="0" applyFont="1" applyFill="1" applyBorder="1" applyAlignment="1" applyProtection="1">
      <alignment horizontal="left"/>
    </xf>
    <xf numFmtId="165" fontId="7" fillId="0" borderId="21" xfId="0" applyNumberFormat="1" applyFont="1" applyFill="1" applyBorder="1" applyAlignment="1" applyProtection="1">
      <alignment horizontal="center" vertical="center"/>
    </xf>
    <xf numFmtId="165" fontId="7" fillId="0" borderId="5" xfId="0" applyNumberFormat="1" applyFont="1" applyFill="1" applyBorder="1" applyAlignment="1" applyProtection="1">
      <alignment horizontal="center" vertical="center"/>
    </xf>
    <xf numFmtId="0" fontId="3" fillId="8" borderId="45" xfId="0" applyFont="1" applyFill="1" applyBorder="1" applyAlignment="1" applyProtection="1">
      <alignment horizontal="left"/>
    </xf>
    <xf numFmtId="168" fontId="25" fillId="0" borderId="0" xfId="0" applyNumberFormat="1" applyFont="1" applyFill="1" applyBorder="1" applyAlignment="1" applyProtection="1">
      <alignment horizontal="center" vertical="center"/>
      <protection locked="0"/>
    </xf>
    <xf numFmtId="165" fontId="7" fillId="0" borderId="29" xfId="0" applyNumberFormat="1" applyFont="1" applyFill="1" applyBorder="1" applyAlignment="1" applyProtection="1">
      <alignment horizontal="center" vertical="center"/>
    </xf>
    <xf numFmtId="165" fontId="7" fillId="0" borderId="43" xfId="0" applyNumberFormat="1" applyFont="1" applyFill="1" applyBorder="1" applyAlignment="1" applyProtection="1">
      <alignment horizontal="center" vertical="center"/>
    </xf>
    <xf numFmtId="0" fontId="4" fillId="9" borderId="39" xfId="0" applyFont="1" applyFill="1" applyBorder="1" applyAlignment="1" applyProtection="1">
      <alignment horizontal="left"/>
    </xf>
    <xf numFmtId="0" fontId="0" fillId="9" borderId="19" xfId="0" applyFill="1" applyBorder="1" applyProtection="1"/>
    <xf numFmtId="4" fontId="2" fillId="13" borderId="19" xfId="0" applyNumberFormat="1" applyFont="1" applyFill="1" applyBorder="1" applyAlignment="1" applyProtection="1">
      <alignment horizontal="center" vertical="center"/>
    </xf>
    <xf numFmtId="4" fontId="2" fillId="13" borderId="4" xfId="0" applyNumberFormat="1" applyFont="1" applyFill="1" applyBorder="1" applyAlignment="1" applyProtection="1">
      <alignment horizontal="center" vertical="center"/>
    </xf>
    <xf numFmtId="0" fontId="4" fillId="9" borderId="41" xfId="0" applyFont="1" applyFill="1" applyBorder="1" applyAlignment="1" applyProtection="1">
      <alignment horizontal="left"/>
    </xf>
    <xf numFmtId="0" fontId="0" fillId="9" borderId="16" xfId="0" applyFill="1" applyBorder="1" applyProtection="1"/>
    <xf numFmtId="0" fontId="5" fillId="9" borderId="16" xfId="0" applyFont="1" applyFill="1" applyBorder="1" applyAlignment="1" applyProtection="1">
      <alignment horizontal="center"/>
    </xf>
    <xf numFmtId="4" fontId="2" fillId="13" borderId="16" xfId="0" applyNumberFormat="1" applyFont="1" applyFill="1" applyBorder="1" applyAlignment="1" applyProtection="1">
      <alignment horizontal="center" vertical="center"/>
    </xf>
    <xf numFmtId="4" fontId="2" fillId="13" borderId="6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4" fillId="0" borderId="1" xfId="0" applyFont="1" applyBorder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center"/>
    </xf>
    <xf numFmtId="2" fontId="2" fillId="0" borderId="1" xfId="0" applyNumberFormat="1" applyFont="1" applyBorder="1" applyProtection="1"/>
    <xf numFmtId="169" fontId="25" fillId="0" borderId="9" xfId="0" applyNumberFormat="1" applyFont="1" applyFill="1" applyBorder="1" applyAlignment="1" applyProtection="1">
      <alignment horizontal="center" vertical="center"/>
      <protection locked="0"/>
    </xf>
    <xf numFmtId="165" fontId="7" fillId="0" borderId="19" xfId="0" applyNumberFormat="1" applyFont="1" applyFill="1" applyBorder="1" applyAlignment="1" applyProtection="1">
      <alignment horizontal="center" vertical="center"/>
    </xf>
    <xf numFmtId="0" fontId="3" fillId="8" borderId="26" xfId="0" applyFont="1" applyFill="1" applyBorder="1" applyAlignment="1" applyProtection="1">
      <alignment horizontal="left"/>
    </xf>
    <xf numFmtId="169" fontId="25" fillId="0" borderId="15" xfId="0" applyNumberFormat="1" applyFont="1" applyFill="1" applyBorder="1" applyAlignment="1" applyProtection="1">
      <alignment horizontal="center" vertical="center"/>
      <protection locked="0"/>
    </xf>
    <xf numFmtId="165" fontId="7" fillId="0" borderId="27" xfId="0" applyNumberFormat="1" applyFont="1" applyFill="1" applyBorder="1" applyAlignment="1" applyProtection="1">
      <alignment horizontal="center" vertical="center"/>
    </xf>
    <xf numFmtId="165" fontId="7" fillId="0" borderId="28" xfId="0" applyNumberFormat="1" applyFont="1" applyFill="1" applyBorder="1" applyAlignment="1" applyProtection="1">
      <alignment horizontal="center" vertical="center"/>
    </xf>
    <xf numFmtId="0" fontId="6" fillId="4" borderId="63" xfId="0" applyFont="1" applyFill="1" applyBorder="1" applyAlignment="1" applyProtection="1">
      <alignment horizontal="center"/>
    </xf>
    <xf numFmtId="0" fontId="6" fillId="4" borderId="64" xfId="0" applyFont="1" applyFill="1" applyBorder="1" applyAlignment="1" applyProtection="1">
      <alignment horizontal="center"/>
    </xf>
    <xf numFmtId="0" fontId="6" fillId="4" borderId="65" xfId="0" applyFont="1" applyFill="1" applyBorder="1" applyAlignment="1" applyProtection="1">
      <alignment horizontal="center"/>
    </xf>
    <xf numFmtId="0" fontId="5" fillId="8" borderId="11" xfId="0" applyFont="1" applyFill="1" applyBorder="1" applyProtection="1"/>
    <xf numFmtId="0" fontId="5" fillId="8" borderId="2" xfId="0" applyFont="1" applyFill="1" applyBorder="1" applyAlignment="1" applyProtection="1">
      <alignment horizontal="center"/>
    </xf>
    <xf numFmtId="165" fontId="7" fillId="3" borderId="3" xfId="0" applyNumberFormat="1" applyFont="1" applyFill="1" applyBorder="1" applyAlignment="1" applyProtection="1">
      <alignment horizontal="center" vertical="center"/>
      <protection locked="0"/>
    </xf>
    <xf numFmtId="165" fontId="7" fillId="3" borderId="5" xfId="0" applyNumberFormat="1" applyFont="1" applyFill="1" applyBorder="1" applyAlignment="1" applyProtection="1">
      <alignment horizontal="center" vertical="center"/>
      <protection locked="0"/>
    </xf>
    <xf numFmtId="0" fontId="5" fillId="8" borderId="1" xfId="0" applyFont="1" applyFill="1" applyBorder="1" applyAlignment="1" applyProtection="1">
      <alignment horizontal="center"/>
    </xf>
    <xf numFmtId="2" fontId="1" fillId="0" borderId="23" xfId="0" applyNumberFormat="1" applyFont="1" applyFill="1" applyBorder="1" applyAlignment="1" applyProtection="1">
      <alignment horizontal="center" vertical="center"/>
    </xf>
    <xf numFmtId="2" fontId="1" fillId="0" borderId="51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Protection="1"/>
    <xf numFmtId="0" fontId="0" fillId="8" borderId="33" xfId="0" applyFill="1" applyBorder="1" applyProtection="1"/>
    <xf numFmtId="0" fontId="5" fillId="8" borderId="33" xfId="0" applyFont="1" applyFill="1" applyBorder="1" applyAlignment="1" applyProtection="1">
      <alignment horizontal="center"/>
    </xf>
    <xf numFmtId="2" fontId="1" fillId="0" borderId="61" xfId="0" applyNumberFormat="1" applyFont="1" applyFill="1" applyBorder="1" applyAlignment="1" applyProtection="1">
      <alignment horizontal="center" vertical="center"/>
    </xf>
    <xf numFmtId="2" fontId="1" fillId="0" borderId="6" xfId="0" applyNumberFormat="1" applyFont="1" applyFill="1" applyBorder="1" applyAlignment="1" applyProtection="1">
      <alignment horizontal="center" vertical="center"/>
    </xf>
    <xf numFmtId="0" fontId="5" fillId="8" borderId="17" xfId="0" applyFont="1" applyFill="1" applyBorder="1" applyProtection="1"/>
    <xf numFmtId="0" fontId="5" fillId="8" borderId="18" xfId="0" applyFont="1" applyFill="1" applyBorder="1" applyProtection="1"/>
    <xf numFmtId="2" fontId="1" fillId="0" borderId="20" xfId="0" applyNumberFormat="1" applyFont="1" applyFill="1" applyBorder="1" applyAlignment="1" applyProtection="1">
      <alignment horizontal="center" vertical="center"/>
    </xf>
    <xf numFmtId="2" fontId="1" fillId="0" borderId="4" xfId="0" applyNumberFormat="1" applyFont="1" applyFill="1" applyBorder="1" applyAlignment="1" applyProtection="1">
      <alignment horizontal="center" vertical="center"/>
    </xf>
    <xf numFmtId="0" fontId="1" fillId="8" borderId="26" xfId="0" applyFont="1" applyFill="1" applyBorder="1" applyProtection="1"/>
    <xf numFmtId="0" fontId="5" fillId="8" borderId="15" xfId="0" applyFont="1" applyFill="1" applyBorder="1" applyProtection="1"/>
    <xf numFmtId="0" fontId="0" fillId="0" borderId="0" xfId="0" applyAlignment="1" applyProtection="1">
      <alignment horizontal="center" vertical="center"/>
    </xf>
    <xf numFmtId="0" fontId="5" fillId="8" borderId="39" xfId="0" applyFont="1" applyFill="1" applyBorder="1" applyAlignment="1" applyProtection="1">
      <alignment horizontal="center" vertical="center" wrapText="1"/>
    </xf>
    <xf numFmtId="0" fontId="5" fillId="8" borderId="19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8" borderId="41" xfId="0" applyFont="1" applyFill="1" applyBorder="1" applyAlignment="1" applyProtection="1">
      <alignment horizontal="center" vertical="center" wrapText="1"/>
    </xf>
    <xf numFmtId="0" fontId="5" fillId="8" borderId="16" xfId="0" applyFont="1" applyFill="1" applyBorder="1" applyAlignment="1" applyProtection="1">
      <alignment horizontal="center" vertical="center" wrapText="1"/>
    </xf>
    <xf numFmtId="0" fontId="5" fillId="8" borderId="6" xfId="0" applyFont="1" applyFill="1" applyBorder="1" applyAlignment="1" applyProtection="1">
      <alignment horizontal="center" vertical="center" wrapText="1"/>
    </xf>
    <xf numFmtId="0" fontId="5" fillId="0" borderId="39" xfId="0" applyFont="1" applyFill="1" applyBorder="1" applyAlignment="1" applyProtection="1">
      <alignment horizont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/>
    </xf>
    <xf numFmtId="165" fontId="0" fillId="0" borderId="19" xfId="0" applyNumberFormat="1" applyFill="1" applyBorder="1" applyAlignment="1" applyProtection="1">
      <alignment horizontal="center"/>
    </xf>
    <xf numFmtId="2" fontId="5" fillId="0" borderId="19" xfId="0" applyNumberFormat="1" applyFont="1" applyFill="1" applyBorder="1" applyAlignment="1" applyProtection="1">
      <alignment horizontal="center"/>
    </xf>
    <xf numFmtId="0" fontId="0" fillId="0" borderId="19" xfId="0" applyFill="1" applyBorder="1" applyAlignment="1" applyProtection="1">
      <alignment horizontal="center"/>
    </xf>
    <xf numFmtId="0" fontId="12" fillId="0" borderId="4" xfId="0" applyFont="1" applyFill="1" applyBorder="1" applyAlignment="1" applyProtection="1">
      <alignment horizontal="left" vertical="center"/>
    </xf>
    <xf numFmtId="0" fontId="5" fillId="0" borderId="40" xfId="0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/>
    </xf>
    <xf numFmtId="2" fontId="5" fillId="0" borderId="3" xfId="0" applyNumberFormat="1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/>
    </xf>
    <xf numFmtId="0" fontId="12" fillId="0" borderId="5" xfId="0" applyFont="1" applyFill="1" applyBorder="1" applyAlignment="1" applyProtection="1">
      <alignment horizontal="left" vertical="center"/>
    </xf>
    <xf numFmtId="0" fontId="5" fillId="0" borderId="40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5" xfId="0" applyFont="1" applyFill="1" applyBorder="1" applyProtection="1"/>
    <xf numFmtId="0" fontId="0" fillId="0" borderId="40" xfId="0" applyFill="1" applyBorder="1" applyAlignment="1" applyProtection="1">
      <alignment horizontal="center"/>
    </xf>
    <xf numFmtId="0" fontId="0" fillId="0" borderId="5" xfId="0" applyFill="1" applyBorder="1" applyProtection="1"/>
    <xf numFmtId="165" fontId="5" fillId="0" borderId="3" xfId="0" applyNumberFormat="1" applyFont="1" applyFill="1" applyBorder="1" applyAlignment="1" applyProtection="1">
      <alignment horizontal="center"/>
    </xf>
    <xf numFmtId="0" fontId="0" fillId="5" borderId="40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 vertic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165" fontId="0" fillId="5" borderId="3" xfId="0" applyNumberFormat="1" applyFill="1" applyBorder="1" applyAlignment="1" applyProtection="1">
      <alignment horizontal="center"/>
      <protection locked="0"/>
    </xf>
    <xf numFmtId="0" fontId="5" fillId="5" borderId="3" xfId="0" applyFont="1" applyFill="1" applyBorder="1" applyAlignment="1" applyProtection="1">
      <alignment horizontal="center"/>
      <protection locked="0"/>
    </xf>
    <xf numFmtId="2" fontId="5" fillId="5" borderId="3" xfId="0" applyNumberFormat="1" applyFont="1" applyFill="1" applyBorder="1" applyAlignment="1" applyProtection="1">
      <alignment horizontal="center"/>
      <protection locked="0"/>
    </xf>
    <xf numFmtId="0" fontId="0" fillId="5" borderId="5" xfId="0" applyFill="1" applyBorder="1" applyProtection="1">
      <protection locked="0"/>
    </xf>
    <xf numFmtId="0" fontId="0" fillId="5" borderId="41" xfId="0" applyFill="1" applyBorder="1" applyAlignment="1" applyProtection="1">
      <alignment horizontal="center"/>
      <protection locked="0"/>
    </xf>
    <xf numFmtId="0" fontId="0" fillId="5" borderId="16" xfId="0" applyFill="1" applyBorder="1" applyAlignment="1" applyProtection="1">
      <alignment horizontal="center" vertical="center"/>
      <protection locked="0"/>
    </xf>
    <xf numFmtId="0" fontId="0" fillId="5" borderId="16" xfId="0" applyFill="1" applyBorder="1" applyAlignment="1" applyProtection="1">
      <alignment horizontal="center"/>
      <protection locked="0"/>
    </xf>
    <xf numFmtId="165" fontId="0" fillId="5" borderId="16" xfId="0" applyNumberFormat="1" applyFill="1" applyBorder="1" applyAlignment="1" applyProtection="1">
      <alignment horizontal="center"/>
      <protection locked="0"/>
    </xf>
    <xf numFmtId="0" fontId="5" fillId="5" borderId="16" xfId="0" applyFont="1" applyFill="1" applyBorder="1" applyAlignment="1" applyProtection="1">
      <alignment horizontal="center"/>
      <protection locked="0"/>
    </xf>
    <xf numFmtId="2" fontId="5" fillId="5" borderId="16" xfId="0" applyNumberFormat="1" applyFont="1" applyFill="1" applyBorder="1" applyAlignment="1" applyProtection="1">
      <alignment horizontal="center"/>
      <protection locked="0"/>
    </xf>
    <xf numFmtId="0" fontId="0" fillId="5" borderId="6" xfId="0" applyFill="1" applyBorder="1" applyProtection="1">
      <protection locked="0"/>
    </xf>
    <xf numFmtId="2" fontId="25" fillId="0" borderId="5" xfId="0" applyNumberFormat="1" applyFont="1" applyFill="1" applyBorder="1" applyAlignment="1" applyProtection="1">
      <alignment horizontal="center"/>
      <protection locked="0"/>
    </xf>
    <xf numFmtId="2" fontId="25" fillId="0" borderId="6" xfId="0" applyNumberFormat="1" applyFont="1" applyFill="1" applyBorder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center"/>
      <protection locked="0"/>
    </xf>
    <xf numFmtId="1" fontId="1" fillId="3" borderId="0" xfId="0" applyNumberFormat="1" applyFont="1" applyFill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65" fontId="1" fillId="5" borderId="0" xfId="0" applyNumberFormat="1" applyFont="1" applyFill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left"/>
    </xf>
    <xf numFmtId="0" fontId="5" fillId="0" borderId="10" xfId="0" applyFont="1" applyBorder="1" applyAlignment="1" applyProtection="1">
      <alignment horizontal="left"/>
    </xf>
    <xf numFmtId="0" fontId="5" fillId="0" borderId="32" xfId="0" applyFont="1" applyBorder="1" applyAlignment="1" applyProtection="1">
      <alignment horizontal="left"/>
    </xf>
    <xf numFmtId="0" fontId="5" fillId="0" borderId="33" xfId="0" applyFont="1" applyBorder="1" applyAlignment="1" applyProtection="1">
      <alignment horizontal="left"/>
    </xf>
    <xf numFmtId="0" fontId="5" fillId="0" borderId="68" xfId="0" applyFont="1" applyBorder="1" applyAlignment="1" applyProtection="1">
      <alignment horizontal="left"/>
    </xf>
    <xf numFmtId="0" fontId="2" fillId="4" borderId="8" xfId="0" applyFont="1" applyFill="1" applyBorder="1" applyAlignment="1" applyProtection="1">
      <alignment horizontal="center"/>
    </xf>
    <xf numFmtId="0" fontId="2" fillId="4" borderId="9" xfId="0" applyFont="1" applyFill="1" applyBorder="1" applyAlignment="1" applyProtection="1">
      <alignment horizontal="center"/>
    </xf>
    <xf numFmtId="0" fontId="2" fillId="4" borderId="10" xfId="0" applyFont="1" applyFill="1" applyBorder="1" applyAlignment="1" applyProtection="1">
      <alignment horizontal="center"/>
    </xf>
    <xf numFmtId="0" fontId="7" fillId="0" borderId="40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7" fillId="0" borderId="39" xfId="0" applyFont="1" applyFill="1" applyBorder="1" applyAlignment="1" applyProtection="1">
      <alignment horizontal="left" vertical="center" wrapText="1"/>
    </xf>
    <xf numFmtId="0" fontId="7" fillId="0" borderId="19" xfId="0" applyFont="1" applyFill="1" applyBorder="1" applyAlignment="1" applyProtection="1">
      <alignment horizontal="left" vertical="center" wrapText="1"/>
    </xf>
    <xf numFmtId="0" fontId="5" fillId="8" borderId="40" xfId="0" applyFont="1" applyFill="1" applyBorder="1" applyAlignment="1" applyProtection="1">
      <alignment horizontal="center" vertical="center"/>
    </xf>
    <xf numFmtId="0" fontId="5" fillId="8" borderId="42" xfId="0" applyFont="1" applyFill="1" applyBorder="1" applyAlignment="1" applyProtection="1">
      <alignment horizontal="center" vertical="center"/>
    </xf>
    <xf numFmtId="0" fontId="7" fillId="0" borderId="72" xfId="0" applyFont="1" applyFill="1" applyBorder="1" applyAlignment="1" applyProtection="1">
      <alignment horizontal="left" vertical="center" wrapText="1"/>
    </xf>
    <xf numFmtId="0" fontId="7" fillId="0" borderId="50" xfId="0" applyFont="1" applyFill="1" applyBorder="1" applyAlignment="1" applyProtection="1">
      <alignment horizontal="left" vertical="center" wrapText="1"/>
    </xf>
    <xf numFmtId="0" fontId="7" fillId="3" borderId="40" xfId="0" applyFont="1" applyFill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0" fontId="7" fillId="3" borderId="41" xfId="0" applyFont="1" applyFill="1" applyBorder="1" applyAlignment="1" applyProtection="1">
      <alignment horizontal="left" vertical="center" wrapText="1"/>
      <protection locked="0"/>
    </xf>
    <xf numFmtId="0" fontId="7" fillId="3" borderId="16" xfId="0" applyFont="1" applyFill="1" applyBorder="1" applyAlignment="1" applyProtection="1">
      <alignment horizontal="left" vertical="center" wrapText="1"/>
      <protection locked="0"/>
    </xf>
    <xf numFmtId="0" fontId="2" fillId="4" borderId="54" xfId="0" applyFont="1" applyFill="1" applyBorder="1" applyAlignment="1" applyProtection="1">
      <alignment horizontal="center" wrapText="1"/>
    </xf>
    <xf numFmtId="0" fontId="2" fillId="4" borderId="70" xfId="0" applyFont="1" applyFill="1" applyBorder="1" applyAlignment="1" applyProtection="1">
      <alignment horizontal="center" wrapText="1"/>
    </xf>
    <xf numFmtId="0" fontId="2" fillId="4" borderId="71" xfId="0" applyFont="1" applyFill="1" applyBorder="1" applyAlignment="1" applyProtection="1">
      <alignment horizontal="center" wrapText="1"/>
    </xf>
    <xf numFmtId="0" fontId="5" fillId="8" borderId="39" xfId="0" applyFont="1" applyFill="1" applyBorder="1" applyAlignment="1" applyProtection="1">
      <alignment horizontal="center" vertical="center"/>
    </xf>
    <xf numFmtId="0" fontId="5" fillId="8" borderId="41" xfId="0" applyFont="1" applyFill="1" applyBorder="1" applyAlignment="1" applyProtection="1">
      <alignment horizontal="center" vertical="center"/>
    </xf>
    <xf numFmtId="0" fontId="5" fillId="8" borderId="17" xfId="0" applyFont="1" applyFill="1" applyBorder="1" applyAlignment="1" applyProtection="1">
      <alignment horizontal="center" vertical="center"/>
    </xf>
    <xf numFmtId="0" fontId="5" fillId="8" borderId="31" xfId="0" applyFont="1" applyFill="1" applyBorder="1" applyAlignment="1" applyProtection="1">
      <alignment horizontal="center" vertical="center"/>
    </xf>
    <xf numFmtId="0" fontId="5" fillId="8" borderId="26" xfId="0" applyFont="1" applyFill="1" applyBorder="1" applyAlignment="1" applyProtection="1">
      <alignment horizontal="center" vertical="center"/>
    </xf>
    <xf numFmtId="0" fontId="5" fillId="8" borderId="24" xfId="0" applyFont="1" applyFill="1" applyBorder="1" applyAlignment="1" applyProtection="1">
      <alignment horizontal="center" vertical="center"/>
    </xf>
    <xf numFmtId="0" fontId="2" fillId="9" borderId="17" xfId="0" applyFont="1" applyFill="1" applyBorder="1" applyAlignment="1" applyProtection="1">
      <alignment horizontal="center"/>
    </xf>
    <xf numFmtId="0" fontId="2" fillId="9" borderId="18" xfId="0" applyFont="1" applyFill="1" applyBorder="1" applyAlignment="1" applyProtection="1">
      <alignment horizontal="center"/>
    </xf>
    <xf numFmtId="0" fontId="2" fillId="9" borderId="31" xfId="0" applyFont="1" applyFill="1" applyBorder="1" applyAlignment="1" applyProtection="1">
      <alignment horizontal="center"/>
    </xf>
    <xf numFmtId="0" fontId="5" fillId="8" borderId="62" xfId="0" applyFont="1" applyFill="1" applyBorder="1" applyAlignment="1" applyProtection="1">
      <alignment horizontal="center"/>
    </xf>
    <xf numFmtId="0" fontId="5" fillId="8" borderId="19" xfId="0" applyFont="1" applyFill="1" applyBorder="1" applyAlignment="1" applyProtection="1">
      <alignment horizontal="center"/>
    </xf>
    <xf numFmtId="0" fontId="5" fillId="8" borderId="4" xfId="0" applyFont="1" applyFill="1" applyBorder="1" applyAlignment="1" applyProtection="1">
      <alignment horizontal="center" vertical="center"/>
    </xf>
    <xf numFmtId="0" fontId="5" fillId="8" borderId="6" xfId="0" applyFont="1" applyFill="1" applyBorder="1" applyAlignment="1" applyProtection="1">
      <alignment horizontal="center" vertical="center"/>
    </xf>
    <xf numFmtId="0" fontId="5" fillId="8" borderId="40" xfId="0" applyFont="1" applyFill="1" applyBorder="1" applyAlignment="1" applyProtection="1">
      <alignment horizontal="center"/>
    </xf>
    <xf numFmtId="0" fontId="5" fillId="8" borderId="5" xfId="0" applyFont="1" applyFill="1" applyBorder="1" applyAlignment="1" applyProtection="1">
      <alignment horizontal="center"/>
    </xf>
    <xf numFmtId="0" fontId="2" fillId="4" borderId="42" xfId="0" applyFont="1" applyFill="1" applyBorder="1" applyAlignment="1" applyProtection="1">
      <alignment horizontal="center" vertical="center" wrapText="1"/>
    </xf>
    <xf numFmtId="0" fontId="2" fillId="4" borderId="73" xfId="0" applyFont="1" applyFill="1" applyBorder="1" applyAlignment="1" applyProtection="1">
      <alignment horizontal="center" vertical="center" wrapText="1"/>
    </xf>
    <xf numFmtId="0" fontId="2" fillId="4" borderId="52" xfId="0" applyFont="1" applyFill="1" applyBorder="1" applyAlignment="1" applyProtection="1">
      <alignment horizontal="center" vertical="center" wrapText="1"/>
    </xf>
    <xf numFmtId="0" fontId="2" fillId="9" borderId="39" xfId="0" applyFont="1" applyFill="1" applyBorder="1" applyAlignment="1" applyProtection="1">
      <alignment horizontal="center" vertical="center" wrapText="1"/>
    </xf>
    <xf numFmtId="0" fontId="2" fillId="9" borderId="40" xfId="0" applyFont="1" applyFill="1" applyBorder="1" applyAlignment="1" applyProtection="1">
      <alignment horizontal="center" vertical="center" wrapText="1"/>
    </xf>
    <xf numFmtId="0" fontId="2" fillId="9" borderId="41" xfId="0" applyFon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left"/>
    </xf>
    <xf numFmtId="0" fontId="0" fillId="0" borderId="5" xfId="0" applyFill="1" applyBorder="1" applyAlignment="1" applyProtection="1">
      <alignment horizontal="left"/>
    </xf>
    <xf numFmtId="0" fontId="0" fillId="9" borderId="40" xfId="0" applyFill="1" applyBorder="1" applyAlignment="1" applyProtection="1">
      <alignment horizontal="left" vertical="center"/>
    </xf>
    <xf numFmtId="0" fontId="0" fillId="9" borderId="3" xfId="0" applyFill="1" applyBorder="1" applyAlignment="1" applyProtection="1">
      <alignment horizontal="left" vertical="center"/>
    </xf>
    <xf numFmtId="0" fontId="0" fillId="9" borderId="42" xfId="0" applyFill="1" applyBorder="1" applyAlignment="1" applyProtection="1">
      <alignment horizontal="left" vertical="center"/>
    </xf>
    <xf numFmtId="0" fontId="0" fillId="9" borderId="53" xfId="0" applyFill="1" applyBorder="1" applyAlignment="1" applyProtection="1">
      <alignment horizontal="left" vertical="center"/>
    </xf>
    <xf numFmtId="0" fontId="0" fillId="9" borderId="41" xfId="0" applyFill="1" applyBorder="1" applyAlignment="1" applyProtection="1">
      <alignment horizontal="left" vertical="center"/>
    </xf>
    <xf numFmtId="0" fontId="0" fillId="9" borderId="16" xfId="0" applyFill="1" applyBorder="1" applyAlignment="1" applyProtection="1">
      <alignment horizontal="left" vertical="center"/>
    </xf>
    <xf numFmtId="0" fontId="0" fillId="0" borderId="16" xfId="0" applyFill="1" applyBorder="1" applyAlignment="1" applyProtection="1">
      <alignment horizontal="left"/>
    </xf>
    <xf numFmtId="0" fontId="0" fillId="0" borderId="6" xfId="0" applyFill="1" applyBorder="1" applyAlignment="1" applyProtection="1">
      <alignment horizontal="left"/>
    </xf>
    <xf numFmtId="0" fontId="2" fillId="9" borderId="8" xfId="0" applyFont="1" applyFill="1" applyBorder="1" applyAlignment="1" applyProtection="1">
      <alignment horizontal="left"/>
    </xf>
    <xf numFmtId="0" fontId="2" fillId="9" borderId="62" xfId="0" applyFont="1" applyFill="1" applyBorder="1" applyAlignment="1" applyProtection="1">
      <alignment horizontal="left"/>
    </xf>
    <xf numFmtId="164" fontId="5" fillId="9" borderId="20" xfId="0" applyNumberFormat="1" applyFont="1" applyFill="1" applyBorder="1" applyAlignment="1" applyProtection="1">
      <alignment horizontal="center"/>
    </xf>
    <xf numFmtId="164" fontId="5" fillId="9" borderId="9" xfId="0" applyNumberFormat="1" applyFont="1" applyFill="1" applyBorder="1" applyAlignment="1" applyProtection="1">
      <alignment horizontal="center"/>
    </xf>
    <xf numFmtId="164" fontId="5" fillId="9" borderId="1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/>
    <xf numFmtId="0" fontId="1" fillId="0" borderId="32" xfId="0" applyFont="1" applyFill="1" applyBorder="1" applyAlignment="1" applyProtection="1"/>
    <xf numFmtId="0" fontId="1" fillId="0" borderId="38" xfId="0" applyFont="1" applyFill="1" applyBorder="1" applyAlignment="1" applyProtection="1"/>
    <xf numFmtId="0" fontId="1" fillId="0" borderId="11" xfId="0" applyFont="1" applyFill="1" applyBorder="1" applyAlignment="1" applyProtection="1"/>
    <xf numFmtId="0" fontId="1" fillId="0" borderId="34" xfId="0" applyFont="1" applyFill="1" applyBorder="1" applyAlignment="1" applyProtection="1"/>
    <xf numFmtId="0" fontId="2" fillId="0" borderId="0" xfId="0" applyFont="1" applyFill="1" applyBorder="1" applyAlignment="1" applyProtection="1"/>
    <xf numFmtId="0" fontId="1" fillId="0" borderId="40" xfId="0" applyFont="1" applyFill="1" applyBorder="1" applyAlignment="1" applyProtection="1">
      <alignment horizontal="left"/>
    </xf>
    <xf numFmtId="0" fontId="1" fillId="0" borderId="3" xfId="0" applyFont="1" applyFill="1" applyBorder="1" applyAlignment="1" applyProtection="1">
      <alignment horizontal="left"/>
    </xf>
    <xf numFmtId="0" fontId="1" fillId="0" borderId="41" xfId="0" applyFont="1" applyFill="1" applyBorder="1" applyAlignment="1" applyProtection="1">
      <alignment horizontal="left"/>
    </xf>
    <xf numFmtId="0" fontId="1" fillId="0" borderId="16" xfId="0" applyFont="1" applyFill="1" applyBorder="1" applyAlignment="1" applyProtection="1">
      <alignment horizontal="left"/>
    </xf>
    <xf numFmtId="0" fontId="2" fillId="9" borderId="39" xfId="0" applyFont="1" applyFill="1" applyBorder="1" applyAlignment="1" applyProtection="1">
      <alignment horizontal="left"/>
    </xf>
    <xf numFmtId="0" fontId="2" fillId="9" borderId="19" xfId="0" applyFont="1" applyFill="1" applyBorder="1" applyAlignment="1" applyProtection="1">
      <alignment horizontal="left"/>
    </xf>
    <xf numFmtId="0" fontId="22" fillId="7" borderId="15" xfId="0" applyFont="1" applyFill="1" applyBorder="1" applyAlignment="1" applyProtection="1">
      <alignment horizontal="left"/>
    </xf>
    <xf numFmtId="0" fontId="2" fillId="9" borderId="39" xfId="0" applyFont="1" applyFill="1" applyBorder="1" applyAlignment="1" applyProtection="1"/>
    <xf numFmtId="0" fontId="2" fillId="9" borderId="19" xfId="0" applyFont="1" applyFill="1" applyBorder="1" applyAlignment="1" applyProtection="1"/>
    <xf numFmtId="0" fontId="4" fillId="9" borderId="17" xfId="0" applyFont="1" applyFill="1" applyBorder="1" applyAlignment="1" applyProtection="1">
      <alignment horizontal="left" vertical="center" wrapText="1"/>
    </xf>
    <xf numFmtId="0" fontId="4" fillId="9" borderId="18" xfId="0" applyFont="1" applyFill="1" applyBorder="1" applyAlignment="1" applyProtection="1">
      <alignment horizontal="left" vertical="center" wrapText="1"/>
    </xf>
    <xf numFmtId="0" fontId="4" fillId="9" borderId="54" xfId="0" applyFont="1" applyFill="1" applyBorder="1" applyAlignment="1" applyProtection="1">
      <alignment horizontal="left" vertical="center" wrapText="1"/>
    </xf>
    <xf numFmtId="0" fontId="4" fillId="9" borderId="70" xfId="0" applyFont="1" applyFill="1" applyBorder="1" applyAlignment="1" applyProtection="1">
      <alignment horizontal="left" vertical="center" wrapText="1"/>
    </xf>
    <xf numFmtId="0" fontId="4" fillId="9" borderId="17" xfId="0" applyFont="1" applyFill="1" applyBorder="1" applyAlignment="1" applyProtection="1">
      <alignment horizontal="left" vertical="center"/>
    </xf>
    <xf numFmtId="0" fontId="4" fillId="9" borderId="18" xfId="0" applyFont="1" applyFill="1" applyBorder="1" applyAlignment="1" applyProtection="1">
      <alignment horizontal="left" vertical="center"/>
    </xf>
    <xf numFmtId="0" fontId="8" fillId="0" borderId="74" xfId="0" applyFont="1" applyFill="1" applyBorder="1" applyAlignment="1" applyProtection="1">
      <alignment horizontal="left" wrapText="1"/>
    </xf>
    <xf numFmtId="0" fontId="8" fillId="0" borderId="58" xfId="0" applyFont="1" applyFill="1" applyBorder="1" applyAlignment="1" applyProtection="1">
      <alignment horizontal="left"/>
    </xf>
    <xf numFmtId="0" fontId="8" fillId="0" borderId="60" xfId="0" applyFont="1" applyFill="1" applyBorder="1" applyAlignment="1" applyProtection="1">
      <alignment horizontal="left"/>
    </xf>
  </cellXfs>
  <cellStyles count="2">
    <cellStyle name="Normální" xfId="0" builtinId="0"/>
    <cellStyle name="Normální 2" xfId="1" xr:uid="{00000000-0005-0000-0000-000001000000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1-prj\CZ\2022_0120_ZP_Kojetin_Hulin%20115838\03_Projekt\06%20Technologie\210721_Metodika%20PN%20vlak&#367;_unlock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ní list"/>
      <sheetName val="DATA"/>
      <sheetName val="Pořízení a provozuschopnost ŽKV"/>
      <sheetName val="Parametry jízdy vlaku"/>
      <sheetName val="Obsazení vlaku personálem"/>
      <sheetName val="SOUHRN PN VLAKŮ"/>
      <sheetName val="Katalog vozidel"/>
    </sheetNames>
    <sheetDataSet>
      <sheetData sheetId="0" refreshError="1"/>
      <sheetData sheetId="1">
        <row r="33">
          <cell r="C33" t="str">
            <v>ANO</v>
          </cell>
        </row>
        <row r="34">
          <cell r="C34" t="str">
            <v>NE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Petr Pavlíček" id="{3A97A902-D097-4436-840B-A269ABB83048}" userId="S::petr.pavlicek@afry.com::76131d3b-a17e-4218-93dd-4f8265a5c66d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4" dT="2023-06-28T07:48:17.18" personId="{3A97A902-D097-4436-840B-A269ABB83048}" id="{C03FF5FF-9C8E-47A1-BA00-E37E68F09ED5}">
    <text>ve variantě BP, 3 a 4 není</text>
  </threadedComment>
  <threadedComment ref="J4" dT="2023-06-28T07:48:49.73" personId="{3A97A902-D097-4436-840B-A269ABB83048}" id="{EA9A941A-643F-42CB-8AC8-AE72D5DEAADE}">
    <text>v nové BP se nevyskytuje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B2:L15"/>
  <sheetViews>
    <sheetView showGridLines="0" zoomScaleNormal="100" workbookViewId="0">
      <selection activeCell="D45" sqref="D45"/>
    </sheetView>
  </sheetViews>
  <sheetFormatPr defaultColWidth="9.109375" defaultRowHeight="13.2" x14ac:dyDescent="0.25"/>
  <cols>
    <col min="1" max="1" width="2.88671875" style="1" customWidth="1"/>
    <col min="2" max="2" width="4.5546875" style="1" customWidth="1"/>
    <col min="3" max="3" width="29.6640625" style="1" bestFit="1" customWidth="1"/>
    <col min="4" max="4" width="38.33203125" style="1" customWidth="1"/>
    <col min="5" max="5" width="11.6640625" style="1" customWidth="1"/>
    <col min="6" max="7" width="9.109375" style="1"/>
    <col min="8" max="8" width="21.6640625" style="1" customWidth="1"/>
    <col min="9" max="16384" width="9.109375" style="1"/>
  </cols>
  <sheetData>
    <row r="2" spans="2:12" ht="17.399999999999999" x14ac:dyDescent="0.3">
      <c r="B2" s="4" t="s">
        <v>249</v>
      </c>
      <c r="C2" s="5"/>
      <c r="D2" s="5"/>
      <c r="E2" s="5"/>
      <c r="F2" s="5"/>
      <c r="G2" s="5"/>
      <c r="H2" s="5"/>
      <c r="I2" s="5"/>
      <c r="J2" s="5"/>
      <c r="K2" s="5"/>
      <c r="L2" s="5"/>
    </row>
    <row r="3" spans="2:12" ht="17.399999999999999" x14ac:dyDescent="0.3">
      <c r="B3" s="6" t="s">
        <v>330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pans="2:12" x14ac:dyDescent="0.25">
      <c r="B4" s="7"/>
      <c r="C4" s="5"/>
      <c r="D4" s="5"/>
      <c r="E4" s="5"/>
      <c r="F4" s="5"/>
      <c r="G4" s="5"/>
      <c r="H4" s="5"/>
      <c r="I4" s="5"/>
      <c r="J4" s="5"/>
      <c r="K4" s="5"/>
      <c r="L4" s="5"/>
    </row>
    <row r="5" spans="2:12" x14ac:dyDescent="0.25">
      <c r="B5" s="8" t="s">
        <v>2</v>
      </c>
      <c r="C5" s="8"/>
      <c r="D5" s="9" t="s">
        <v>140</v>
      </c>
      <c r="E5" s="5"/>
      <c r="F5" s="8" t="s">
        <v>250</v>
      </c>
      <c r="G5" s="8"/>
      <c r="H5" s="8"/>
      <c r="I5" s="5"/>
      <c r="J5" s="5"/>
      <c r="K5" s="5"/>
      <c r="L5" s="5"/>
    </row>
    <row r="6" spans="2:12" x14ac:dyDescent="0.25">
      <c r="B6" s="10"/>
      <c r="C6" s="10"/>
      <c r="D6" s="11"/>
      <c r="E6" s="5"/>
      <c r="F6" s="5"/>
      <c r="G6" s="5"/>
      <c r="H6" s="5"/>
      <c r="I6" s="5"/>
      <c r="J6" s="5"/>
      <c r="K6" s="5"/>
      <c r="L6" s="5"/>
    </row>
    <row r="7" spans="2:12" x14ac:dyDescent="0.25">
      <c r="B7" s="12">
        <v>1</v>
      </c>
      <c r="C7" s="13" t="s">
        <v>143</v>
      </c>
      <c r="D7" s="13" t="s">
        <v>1</v>
      </c>
      <c r="E7" s="5"/>
      <c r="F7" s="14"/>
      <c r="G7" s="15" t="s">
        <v>251</v>
      </c>
      <c r="H7" s="5"/>
      <c r="I7" s="5"/>
      <c r="J7" s="5"/>
      <c r="K7" s="5"/>
      <c r="L7" s="5"/>
    </row>
    <row r="8" spans="2:12" x14ac:dyDescent="0.25">
      <c r="B8" s="12">
        <v>2</v>
      </c>
      <c r="C8" s="5" t="s">
        <v>48</v>
      </c>
      <c r="D8" s="13" t="s">
        <v>118</v>
      </c>
      <c r="E8" s="5"/>
      <c r="F8" s="16"/>
      <c r="G8" s="17" t="s">
        <v>321</v>
      </c>
      <c r="H8" s="5"/>
      <c r="I8" s="5"/>
      <c r="J8" s="5"/>
      <c r="K8" s="5"/>
      <c r="L8" s="5"/>
    </row>
    <row r="9" spans="2:12" x14ac:dyDescent="0.25">
      <c r="B9" s="12">
        <v>3</v>
      </c>
      <c r="C9" s="13" t="s">
        <v>119</v>
      </c>
      <c r="D9" s="13" t="s">
        <v>141</v>
      </c>
      <c r="E9" s="5"/>
      <c r="F9" s="18"/>
      <c r="G9" s="17" t="s">
        <v>252</v>
      </c>
      <c r="H9" s="5"/>
      <c r="I9" s="5"/>
      <c r="J9" s="5"/>
      <c r="K9" s="5"/>
      <c r="L9" s="5"/>
    </row>
    <row r="10" spans="2:12" x14ac:dyDescent="0.25">
      <c r="B10" s="12">
        <v>4</v>
      </c>
      <c r="C10" s="13" t="s">
        <v>120</v>
      </c>
      <c r="D10" s="13" t="s">
        <v>49</v>
      </c>
      <c r="E10" s="5"/>
      <c r="F10" s="19"/>
      <c r="G10" s="17" t="s">
        <v>253</v>
      </c>
      <c r="H10" s="5"/>
      <c r="I10" s="5"/>
      <c r="J10" s="5"/>
      <c r="K10" s="5"/>
      <c r="L10" s="5"/>
    </row>
    <row r="11" spans="2:12" x14ac:dyDescent="0.25">
      <c r="B11" s="12">
        <v>5</v>
      </c>
      <c r="C11" s="5" t="s">
        <v>51</v>
      </c>
      <c r="D11" s="13" t="s">
        <v>142</v>
      </c>
      <c r="E11" s="5"/>
      <c r="F11" s="20"/>
      <c r="G11" s="17" t="s">
        <v>253</v>
      </c>
      <c r="H11" s="5"/>
      <c r="I11" s="5"/>
      <c r="J11" s="5"/>
      <c r="K11" s="5"/>
      <c r="L11" s="5"/>
    </row>
    <row r="12" spans="2:12" x14ac:dyDescent="0.25">
      <c r="B12" s="12">
        <v>6</v>
      </c>
      <c r="C12" s="5" t="s">
        <v>50</v>
      </c>
      <c r="D12" s="13" t="s">
        <v>142</v>
      </c>
      <c r="E12" s="5"/>
      <c r="F12" s="11"/>
      <c r="G12" s="21"/>
      <c r="H12" s="5"/>
      <c r="I12" s="5"/>
      <c r="J12" s="5"/>
      <c r="K12" s="5"/>
      <c r="L12" s="5"/>
    </row>
    <row r="13" spans="2:12" x14ac:dyDescent="0.25">
      <c r="B13" s="12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2:12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2:12" s="2" customFormat="1" x14ac:dyDescent="0.25"/>
  </sheetData>
  <sheetProtection password="9028" sheet="1" objects="1" scenarios="1"/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"/>
  <dimension ref="B2:Q38"/>
  <sheetViews>
    <sheetView showGridLines="0" zoomScaleNormal="100" workbookViewId="0">
      <selection activeCell="B41" sqref="B41"/>
    </sheetView>
  </sheetViews>
  <sheetFormatPr defaultColWidth="9.109375" defaultRowHeight="13.2" x14ac:dyDescent="0.25"/>
  <cols>
    <col min="1" max="1" width="3.5546875" style="5" customWidth="1"/>
    <col min="2" max="15" width="13.6640625" style="5" customWidth="1"/>
    <col min="16" max="16" width="11.88671875" style="5" customWidth="1"/>
    <col min="17" max="36" width="10.5546875" style="5" customWidth="1"/>
    <col min="37" max="16384" width="9.109375" style="5"/>
  </cols>
  <sheetData>
    <row r="2" spans="2:17" ht="15" customHeight="1" thickBot="1" x14ac:dyDescent="0.3">
      <c r="B2" s="22" t="s">
        <v>243</v>
      </c>
    </row>
    <row r="3" spans="2:17" ht="15" customHeight="1" x14ac:dyDescent="0.25">
      <c r="B3" s="443" t="s">
        <v>337</v>
      </c>
      <c r="C3" s="444"/>
      <c r="D3" s="444"/>
      <c r="E3" s="444"/>
      <c r="F3" s="444"/>
      <c r="G3" s="444"/>
      <c r="H3" s="444"/>
      <c r="I3" s="444"/>
      <c r="J3" s="445"/>
    </row>
    <row r="4" spans="2:17" ht="27" customHeight="1" x14ac:dyDescent="0.25">
      <c r="B4" s="23"/>
      <c r="C4" s="24"/>
      <c r="D4" s="25" t="s">
        <v>96</v>
      </c>
      <c r="E4" s="26" t="s">
        <v>99</v>
      </c>
      <c r="F4" s="26" t="s">
        <v>98</v>
      </c>
      <c r="G4" s="26" t="s">
        <v>102</v>
      </c>
      <c r="H4" s="26" t="s">
        <v>101</v>
      </c>
      <c r="I4" s="26" t="s">
        <v>104</v>
      </c>
      <c r="J4" s="27" t="s">
        <v>54</v>
      </c>
    </row>
    <row r="5" spans="2:17" ht="15" customHeight="1" thickBot="1" x14ac:dyDescent="0.3">
      <c r="B5" s="28"/>
      <c r="C5" s="29"/>
      <c r="D5" s="30" t="s">
        <v>100</v>
      </c>
      <c r="E5" s="31" t="s">
        <v>53</v>
      </c>
      <c r="F5" s="31" t="s">
        <v>100</v>
      </c>
      <c r="G5" s="31" t="s">
        <v>103</v>
      </c>
      <c r="H5" s="31" t="s">
        <v>53</v>
      </c>
      <c r="I5" s="31" t="s">
        <v>108</v>
      </c>
      <c r="J5" s="32" t="s">
        <v>146</v>
      </c>
    </row>
    <row r="6" spans="2:17" ht="15" customHeight="1" x14ac:dyDescent="0.25">
      <c r="B6" s="448" t="s">
        <v>93</v>
      </c>
      <c r="C6" s="449"/>
      <c r="D6" s="33">
        <v>49395.772521000006</v>
      </c>
      <c r="E6" s="34">
        <f>1/1.338*100</f>
        <v>74.738415545590428</v>
      </c>
      <c r="F6" s="35">
        <f t="shared" ref="F6:F13" si="0">D6/E6*100</f>
        <v>66091.543633098016</v>
      </c>
      <c r="G6" s="33">
        <v>140</v>
      </c>
      <c r="H6" s="33">
        <v>70</v>
      </c>
      <c r="I6" s="33" t="s">
        <v>283</v>
      </c>
      <c r="J6" s="36">
        <f t="shared" ref="J6:J13" si="1">F6/G6/H6*100</f>
        <v>674.40350646018373</v>
      </c>
    </row>
    <row r="7" spans="2:17" ht="24" customHeight="1" x14ac:dyDescent="0.25">
      <c r="B7" s="446" t="s">
        <v>94</v>
      </c>
      <c r="C7" s="447"/>
      <c r="D7" s="37">
        <v>37585.969578000004</v>
      </c>
      <c r="E7" s="38">
        <f t="shared" ref="E7:E13" si="2">1/1.338*100</f>
        <v>74.738415545590428</v>
      </c>
      <c r="F7" s="39">
        <f t="shared" si="0"/>
        <v>50290.027295364009</v>
      </c>
      <c r="G7" s="37">
        <v>140</v>
      </c>
      <c r="H7" s="37">
        <v>70</v>
      </c>
      <c r="I7" s="37" t="s">
        <v>105</v>
      </c>
      <c r="J7" s="40">
        <f t="shared" si="1"/>
        <v>513.16354383024498</v>
      </c>
    </row>
    <row r="8" spans="2:17" ht="15" customHeight="1" x14ac:dyDescent="0.25">
      <c r="B8" s="446" t="s">
        <v>97</v>
      </c>
      <c r="C8" s="447"/>
      <c r="D8" s="37">
        <v>27279.047051000001</v>
      </c>
      <c r="E8" s="38">
        <f t="shared" si="2"/>
        <v>74.738415545590428</v>
      </c>
      <c r="F8" s="39">
        <f t="shared" si="0"/>
        <v>36499.364954238008</v>
      </c>
      <c r="G8" s="37">
        <v>140</v>
      </c>
      <c r="H8" s="37">
        <v>80</v>
      </c>
      <c r="I8" s="37" t="s">
        <v>109</v>
      </c>
      <c r="J8" s="40">
        <f t="shared" si="1"/>
        <v>325.88718709141074</v>
      </c>
    </row>
    <row r="9" spans="2:17" ht="31.5" customHeight="1" x14ac:dyDescent="0.25">
      <c r="B9" s="446" t="s">
        <v>95</v>
      </c>
      <c r="C9" s="447"/>
      <c r="D9" s="37">
        <v>36116.874088999997</v>
      </c>
      <c r="E9" s="38">
        <f t="shared" si="2"/>
        <v>74.738415545590428</v>
      </c>
      <c r="F9" s="39">
        <f t="shared" si="0"/>
        <v>48324.377531081998</v>
      </c>
      <c r="G9" s="37">
        <v>140</v>
      </c>
      <c r="H9" s="37">
        <v>50</v>
      </c>
      <c r="I9" s="37" t="s">
        <v>110</v>
      </c>
      <c r="J9" s="40">
        <f t="shared" si="1"/>
        <v>690.34825044402851</v>
      </c>
    </row>
    <row r="10" spans="2:17" ht="15" customHeight="1" x14ac:dyDescent="0.25">
      <c r="B10" s="452" t="s">
        <v>93</v>
      </c>
      <c r="C10" s="453"/>
      <c r="D10" s="37">
        <v>49395.772521000006</v>
      </c>
      <c r="E10" s="38">
        <f t="shared" si="2"/>
        <v>74.738415545590428</v>
      </c>
      <c r="F10" s="41">
        <f t="shared" si="0"/>
        <v>66091.543633098016</v>
      </c>
      <c r="G10" s="37">
        <v>140</v>
      </c>
      <c r="H10" s="37">
        <v>50</v>
      </c>
      <c r="I10" s="37" t="s">
        <v>284</v>
      </c>
      <c r="J10" s="40">
        <f t="shared" si="1"/>
        <v>944.16490904425746</v>
      </c>
    </row>
    <row r="11" spans="2:17" ht="15" customHeight="1" x14ac:dyDescent="0.25">
      <c r="B11" s="454"/>
      <c r="C11" s="455"/>
      <c r="D11" s="42"/>
      <c r="E11" s="43">
        <f t="shared" si="2"/>
        <v>74.738415545590428</v>
      </c>
      <c r="F11" s="44">
        <f t="shared" si="0"/>
        <v>0</v>
      </c>
      <c r="G11" s="42">
        <v>140</v>
      </c>
      <c r="H11" s="42">
        <v>80</v>
      </c>
      <c r="I11" s="42"/>
      <c r="J11" s="45">
        <f t="shared" si="1"/>
        <v>0</v>
      </c>
    </row>
    <row r="12" spans="2:17" ht="15" customHeight="1" x14ac:dyDescent="0.25">
      <c r="B12" s="454"/>
      <c r="C12" s="455"/>
      <c r="D12" s="42"/>
      <c r="E12" s="43">
        <f t="shared" si="2"/>
        <v>74.738415545590428</v>
      </c>
      <c r="F12" s="44">
        <f t="shared" si="0"/>
        <v>0</v>
      </c>
      <c r="G12" s="42">
        <v>140</v>
      </c>
      <c r="H12" s="42">
        <v>80</v>
      </c>
      <c r="I12" s="42"/>
      <c r="J12" s="45">
        <f t="shared" si="1"/>
        <v>0</v>
      </c>
    </row>
    <row r="13" spans="2:17" ht="15" customHeight="1" thickBot="1" x14ac:dyDescent="0.3">
      <c r="B13" s="456"/>
      <c r="C13" s="457"/>
      <c r="D13" s="46"/>
      <c r="E13" s="47">
        <f t="shared" si="2"/>
        <v>74.738415545590428</v>
      </c>
      <c r="F13" s="48">
        <f t="shared" si="0"/>
        <v>0</v>
      </c>
      <c r="G13" s="46">
        <v>140</v>
      </c>
      <c r="H13" s="46">
        <v>80</v>
      </c>
      <c r="I13" s="46"/>
      <c r="J13" s="49">
        <f t="shared" si="1"/>
        <v>0</v>
      </c>
    </row>
    <row r="14" spans="2:17" ht="15" customHeight="1" x14ac:dyDescent="0.25">
      <c r="D14" s="21"/>
    </row>
    <row r="15" spans="2:17" ht="15" customHeight="1" x14ac:dyDescent="0.25">
      <c r="Q15" s="50"/>
    </row>
    <row r="16" spans="2:17" ht="15" customHeight="1" thickBot="1" x14ac:dyDescent="0.3">
      <c r="B16" s="22" t="s">
        <v>244</v>
      </c>
      <c r="I16" s="22" t="s">
        <v>245</v>
      </c>
      <c r="J16" s="51"/>
      <c r="K16" s="51"/>
      <c r="L16" s="51"/>
      <c r="M16" s="51"/>
      <c r="N16" s="51"/>
      <c r="O16" s="51"/>
    </row>
    <row r="17" spans="2:16" ht="15" customHeight="1" thickBot="1" x14ac:dyDescent="0.3">
      <c r="B17" s="458" t="s">
        <v>210</v>
      </c>
      <c r="C17" s="459"/>
      <c r="D17" s="460"/>
      <c r="I17" s="467" t="s">
        <v>242</v>
      </c>
      <c r="J17" s="468"/>
      <c r="K17" s="468"/>
      <c r="L17" s="468"/>
      <c r="M17" s="468"/>
      <c r="N17" s="468"/>
      <c r="O17" s="469"/>
    </row>
    <row r="18" spans="2:16" ht="15" customHeight="1" x14ac:dyDescent="0.25">
      <c r="B18" s="52" t="str">
        <f>C26</f>
        <v>motorová</v>
      </c>
      <c r="C18" s="53">
        <v>8.92</v>
      </c>
      <c r="D18" s="54" t="s">
        <v>127</v>
      </c>
      <c r="E18" s="21"/>
      <c r="I18" s="463" t="s">
        <v>241</v>
      </c>
      <c r="J18" s="464"/>
      <c r="K18" s="470" t="s">
        <v>225</v>
      </c>
      <c r="L18" s="471"/>
      <c r="M18" s="471" t="s">
        <v>226</v>
      </c>
      <c r="N18" s="471"/>
      <c r="O18" s="472" t="s">
        <v>214</v>
      </c>
    </row>
    <row r="19" spans="2:16" ht="15" customHeight="1" thickBot="1" x14ac:dyDescent="0.3">
      <c r="B19" s="55" t="str">
        <f>C27</f>
        <v>el.ss</v>
      </c>
      <c r="C19" s="56">
        <v>2.2599999999999998</v>
      </c>
      <c r="D19" s="57" t="s">
        <v>127</v>
      </c>
      <c r="E19" s="21"/>
      <c r="I19" s="465"/>
      <c r="J19" s="466"/>
      <c r="K19" s="58" t="s">
        <v>212</v>
      </c>
      <c r="L19" s="59" t="s">
        <v>213</v>
      </c>
      <c r="M19" s="59" t="s">
        <v>212</v>
      </c>
      <c r="N19" s="59" t="s">
        <v>213</v>
      </c>
      <c r="O19" s="473"/>
    </row>
    <row r="20" spans="2:16" ht="15" customHeight="1" thickBot="1" x14ac:dyDescent="0.3">
      <c r="B20" s="55" t="str">
        <f>C28</f>
        <v>el.stř</v>
      </c>
      <c r="C20" s="56">
        <v>2.2599999999999998</v>
      </c>
      <c r="D20" s="60" t="s">
        <v>127</v>
      </c>
      <c r="E20" s="61" t="s">
        <v>341</v>
      </c>
      <c r="I20" s="62" t="s">
        <v>224</v>
      </c>
      <c r="J20" s="63"/>
      <c r="K20" s="64">
        <v>1</v>
      </c>
      <c r="L20" s="65">
        <v>2</v>
      </c>
      <c r="M20" s="65">
        <v>3</v>
      </c>
      <c r="N20" s="65">
        <v>4</v>
      </c>
      <c r="O20" s="66">
        <v>5</v>
      </c>
    </row>
    <row r="21" spans="2:16" ht="15" customHeight="1" thickBot="1" x14ac:dyDescent="0.3">
      <c r="B21" s="67" t="str">
        <f>C29</f>
        <v>hybridní</v>
      </c>
      <c r="C21" s="68">
        <f>(1-$E$21)*$C$18+$E$21*(AVERAGE(C19:C20))</f>
        <v>5.59</v>
      </c>
      <c r="D21" s="69" t="s">
        <v>127</v>
      </c>
      <c r="E21" s="70">
        <v>0.5</v>
      </c>
      <c r="F21" s="71"/>
      <c r="I21" s="474" t="s">
        <v>309</v>
      </c>
      <c r="J21" s="475"/>
      <c r="K21" s="72">
        <v>25</v>
      </c>
      <c r="L21" s="73">
        <v>25</v>
      </c>
      <c r="M21" s="73">
        <v>20</v>
      </c>
      <c r="N21" s="73">
        <v>20</v>
      </c>
      <c r="O21" s="74">
        <v>43</v>
      </c>
    </row>
    <row r="22" spans="2:16" ht="15" customHeight="1" thickBot="1" x14ac:dyDescent="0.3">
      <c r="B22" s="75" t="str">
        <f>C30</f>
        <v>baterie</v>
      </c>
      <c r="C22" s="76">
        <v>2.2599999999999998</v>
      </c>
      <c r="D22" s="77" t="s">
        <v>127</v>
      </c>
      <c r="E22" s="21"/>
      <c r="I22" s="450" t="s">
        <v>209</v>
      </c>
      <c r="J22" s="78">
        <v>1</v>
      </c>
      <c r="K22" s="72">
        <v>1</v>
      </c>
      <c r="L22" s="73">
        <v>1</v>
      </c>
      <c r="M22" s="73">
        <v>1</v>
      </c>
      <c r="N22" s="73">
        <v>1</v>
      </c>
      <c r="O22" s="74">
        <v>1</v>
      </c>
    </row>
    <row r="23" spans="2:16" ht="15" customHeight="1" x14ac:dyDescent="0.25">
      <c r="I23" s="450"/>
      <c r="J23" s="78">
        <v>2</v>
      </c>
      <c r="K23" s="72">
        <v>1.1000000000000001</v>
      </c>
      <c r="L23" s="73">
        <v>1.1000000000000001</v>
      </c>
      <c r="M23" s="73">
        <v>1.1000000000000001</v>
      </c>
      <c r="N23" s="73">
        <v>1.1000000000000001</v>
      </c>
      <c r="O23" s="74">
        <v>1.1000000000000001</v>
      </c>
    </row>
    <row r="24" spans="2:16" ht="15" customHeight="1" thickBot="1" x14ac:dyDescent="0.3">
      <c r="B24" s="22" t="s">
        <v>246</v>
      </c>
      <c r="I24" s="450"/>
      <c r="J24" s="78">
        <v>3</v>
      </c>
      <c r="K24" s="72">
        <v>1.3</v>
      </c>
      <c r="L24" s="73">
        <v>1.3</v>
      </c>
      <c r="M24" s="73">
        <v>1.3</v>
      </c>
      <c r="N24" s="73">
        <v>1.3</v>
      </c>
      <c r="O24" s="74">
        <v>1.3</v>
      </c>
    </row>
    <row r="25" spans="2:16" ht="15" customHeight="1" thickBot="1" x14ac:dyDescent="0.3">
      <c r="B25" s="79" t="s">
        <v>3</v>
      </c>
      <c r="C25" s="80" t="s">
        <v>4</v>
      </c>
      <c r="I25" s="450" t="s">
        <v>207</v>
      </c>
      <c r="J25" s="78">
        <v>1</v>
      </c>
      <c r="K25" s="72">
        <v>0.8</v>
      </c>
      <c r="L25" s="73">
        <v>0.8</v>
      </c>
      <c r="M25" s="73">
        <v>0.8</v>
      </c>
      <c r="N25" s="73">
        <v>0.8</v>
      </c>
      <c r="O25" s="74">
        <v>0.8</v>
      </c>
    </row>
    <row r="26" spans="2:16" ht="15" customHeight="1" x14ac:dyDescent="0.25">
      <c r="B26" s="81" t="s">
        <v>122</v>
      </c>
      <c r="C26" s="82" t="s">
        <v>124</v>
      </c>
      <c r="I26" s="450"/>
      <c r="J26" s="78">
        <v>2</v>
      </c>
      <c r="K26" s="72">
        <v>1</v>
      </c>
      <c r="L26" s="73">
        <v>1</v>
      </c>
      <c r="M26" s="73">
        <v>1</v>
      </c>
      <c r="N26" s="73">
        <v>1</v>
      </c>
      <c r="O26" s="74">
        <v>1</v>
      </c>
    </row>
    <row r="27" spans="2:16" ht="15" customHeight="1" x14ac:dyDescent="0.25">
      <c r="B27" s="83" t="s">
        <v>123</v>
      </c>
      <c r="C27" s="84" t="s">
        <v>318</v>
      </c>
      <c r="I27" s="450"/>
      <c r="J27" s="78">
        <v>3</v>
      </c>
      <c r="K27" s="72">
        <v>1.2</v>
      </c>
      <c r="L27" s="73">
        <v>1.2</v>
      </c>
      <c r="M27" s="73">
        <v>1.2</v>
      </c>
      <c r="N27" s="73">
        <v>1.2</v>
      </c>
      <c r="O27" s="74">
        <v>1.2</v>
      </c>
    </row>
    <row r="28" spans="2:16" ht="15" customHeight="1" thickBot="1" x14ac:dyDescent="0.3">
      <c r="B28" s="85" t="s">
        <v>211</v>
      </c>
      <c r="C28" s="84" t="s">
        <v>319</v>
      </c>
      <c r="I28" s="450" t="s">
        <v>208</v>
      </c>
      <c r="J28" s="78">
        <v>1</v>
      </c>
      <c r="K28" s="72">
        <v>0.9</v>
      </c>
      <c r="L28" s="73">
        <v>0.8</v>
      </c>
      <c r="M28" s="73">
        <v>0.9</v>
      </c>
      <c r="N28" s="73">
        <v>0.8</v>
      </c>
      <c r="O28" s="74">
        <v>0.9</v>
      </c>
      <c r="P28" s="86"/>
    </row>
    <row r="29" spans="2:16" x14ac:dyDescent="0.25">
      <c r="C29" s="87" t="s">
        <v>126</v>
      </c>
      <c r="I29" s="450"/>
      <c r="J29" s="78">
        <v>2</v>
      </c>
      <c r="K29" s="72">
        <v>1</v>
      </c>
      <c r="L29" s="73">
        <v>1</v>
      </c>
      <c r="M29" s="73">
        <v>1</v>
      </c>
      <c r="N29" s="73">
        <v>1</v>
      </c>
      <c r="O29" s="74">
        <v>1</v>
      </c>
      <c r="P29" s="86"/>
    </row>
    <row r="30" spans="2:16" ht="13.8" thickBot="1" x14ac:dyDescent="0.3">
      <c r="C30" s="88" t="s">
        <v>331</v>
      </c>
      <c r="I30" s="450"/>
      <c r="J30" s="78">
        <v>3</v>
      </c>
      <c r="K30" s="72">
        <v>1.3</v>
      </c>
      <c r="L30" s="73">
        <v>1.2</v>
      </c>
      <c r="M30" s="73">
        <v>1.3</v>
      </c>
      <c r="N30" s="73">
        <v>1.2</v>
      </c>
      <c r="O30" s="74">
        <v>1.4</v>
      </c>
      <c r="P30" s="86"/>
    </row>
    <row r="31" spans="2:16" x14ac:dyDescent="0.25">
      <c r="I31" s="451"/>
      <c r="J31" s="89">
        <v>4</v>
      </c>
      <c r="K31" s="90">
        <v>1.65</v>
      </c>
      <c r="L31" s="91">
        <v>1.55</v>
      </c>
      <c r="M31" s="91">
        <v>1.7</v>
      </c>
      <c r="N31" s="91">
        <v>1.6</v>
      </c>
      <c r="O31" s="92">
        <v>1.7</v>
      </c>
      <c r="P31" s="86"/>
    </row>
    <row r="32" spans="2:16" ht="13.8" thickBot="1" x14ac:dyDescent="0.3">
      <c r="B32" s="22" t="s">
        <v>247</v>
      </c>
      <c r="I32" s="451"/>
      <c r="J32" s="89">
        <v>5</v>
      </c>
      <c r="K32" s="90">
        <v>2</v>
      </c>
      <c r="L32" s="91">
        <v>1.9</v>
      </c>
      <c r="M32" s="91">
        <v>2.1</v>
      </c>
      <c r="N32" s="91">
        <v>2</v>
      </c>
      <c r="O32" s="92">
        <v>2.2000000000000002</v>
      </c>
      <c r="P32" s="86"/>
    </row>
    <row r="33" spans="2:16" ht="13.8" thickBot="1" x14ac:dyDescent="0.3">
      <c r="B33" s="93" t="s">
        <v>277</v>
      </c>
      <c r="C33" s="94" t="s">
        <v>293</v>
      </c>
      <c r="D33" s="95">
        <v>0.85</v>
      </c>
      <c r="I33" s="451"/>
      <c r="J33" s="89">
        <v>6</v>
      </c>
      <c r="K33" s="90">
        <v>2.35</v>
      </c>
      <c r="L33" s="96">
        <v>0</v>
      </c>
      <c r="M33" s="96">
        <v>0</v>
      </c>
      <c r="N33" s="96">
        <v>0</v>
      </c>
      <c r="O33" s="92">
        <v>2.75</v>
      </c>
      <c r="P33" s="86"/>
    </row>
    <row r="34" spans="2:16" ht="13.8" thickBot="1" x14ac:dyDescent="0.3">
      <c r="B34" s="97"/>
      <c r="C34" s="98" t="s">
        <v>294</v>
      </c>
      <c r="D34" s="99">
        <v>1</v>
      </c>
      <c r="I34" s="461" t="s">
        <v>216</v>
      </c>
      <c r="J34" s="100" t="s">
        <v>217</v>
      </c>
      <c r="K34" s="101">
        <v>1.05</v>
      </c>
      <c r="L34" s="102">
        <v>1.05</v>
      </c>
      <c r="M34" s="102">
        <v>1.1000000000000001</v>
      </c>
      <c r="N34" s="102">
        <v>1.1000000000000001</v>
      </c>
      <c r="O34" s="103">
        <v>1.05</v>
      </c>
      <c r="P34" s="86"/>
    </row>
    <row r="35" spans="2:16" x14ac:dyDescent="0.25">
      <c r="I35" s="450"/>
      <c r="J35" s="78" t="s">
        <v>218</v>
      </c>
      <c r="K35" s="72">
        <v>1.1499999999999999</v>
      </c>
      <c r="L35" s="73">
        <v>1.1499999999999999</v>
      </c>
      <c r="M35" s="73">
        <v>1.05</v>
      </c>
      <c r="N35" s="73">
        <v>1.05</v>
      </c>
      <c r="O35" s="74">
        <v>1.05</v>
      </c>
    </row>
    <row r="36" spans="2:16" ht="13.8" thickBot="1" x14ac:dyDescent="0.3">
      <c r="B36" s="22" t="s">
        <v>278</v>
      </c>
      <c r="I36" s="462"/>
      <c r="J36" s="104" t="s">
        <v>219</v>
      </c>
      <c r="K36" s="105">
        <v>1.1000000000000001</v>
      </c>
      <c r="L36" s="106">
        <v>1.1000000000000001</v>
      </c>
      <c r="M36" s="106">
        <v>1.1000000000000001</v>
      </c>
      <c r="N36" s="106">
        <v>1.1000000000000001</v>
      </c>
      <c r="O36" s="107">
        <v>1.1000000000000001</v>
      </c>
    </row>
    <row r="37" spans="2:16" x14ac:dyDescent="0.25">
      <c r="B37" s="437" t="s">
        <v>342</v>
      </c>
      <c r="C37" s="438"/>
      <c r="D37" s="438"/>
      <c r="E37" s="438"/>
      <c r="F37" s="439"/>
      <c r="G37" s="108">
        <v>1.258490561653445</v>
      </c>
    </row>
    <row r="38" spans="2:16" ht="13.8" thickBot="1" x14ac:dyDescent="0.3">
      <c r="B38" s="440" t="s">
        <v>343</v>
      </c>
      <c r="C38" s="441"/>
      <c r="D38" s="441"/>
      <c r="E38" s="441"/>
      <c r="F38" s="442"/>
      <c r="G38" s="3">
        <f>G37*D33</f>
        <v>1.0697169774054283</v>
      </c>
    </row>
  </sheetData>
  <sheetProtection password="9028" sheet="1" objects="1" scenarios="1"/>
  <mergeCells count="22">
    <mergeCell ref="I17:O17"/>
    <mergeCell ref="I25:I27"/>
    <mergeCell ref="K18:L18"/>
    <mergeCell ref="M18:N18"/>
    <mergeCell ref="O18:O19"/>
    <mergeCell ref="I21:J21"/>
    <mergeCell ref="B37:F37"/>
    <mergeCell ref="B38:F38"/>
    <mergeCell ref="B3:J3"/>
    <mergeCell ref="B8:C8"/>
    <mergeCell ref="B6:C6"/>
    <mergeCell ref="B7:C7"/>
    <mergeCell ref="I28:I33"/>
    <mergeCell ref="B9:C9"/>
    <mergeCell ref="B10:C10"/>
    <mergeCell ref="B11:C11"/>
    <mergeCell ref="B12:C12"/>
    <mergeCell ref="B13:C13"/>
    <mergeCell ref="B17:D17"/>
    <mergeCell ref="I34:I36"/>
    <mergeCell ref="I22:I24"/>
    <mergeCell ref="I18:J19"/>
  </mergeCells>
  <phoneticPr fontId="1" type="noConversion"/>
  <pageMargins left="0.78740157499999996" right="0.78740157499999996" top="0.984251969" bottom="0.984251969" header="0.4921259845" footer="0.4921259845"/>
  <pageSetup paperSize="1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B2:Y99"/>
  <sheetViews>
    <sheetView showGridLines="0" tabSelected="1" topLeftCell="A16" zoomScaleNormal="100" workbookViewId="0">
      <selection activeCell="K28" sqref="K28"/>
    </sheetView>
  </sheetViews>
  <sheetFormatPr defaultColWidth="9.109375" defaultRowHeight="13.2" x14ac:dyDescent="0.25"/>
  <cols>
    <col min="1" max="1" width="2.88671875" style="5" customWidth="1"/>
    <col min="2" max="2" width="23.33203125" style="5" customWidth="1"/>
    <col min="3" max="3" width="10.5546875" style="5" customWidth="1"/>
    <col min="4" max="4" width="10.5546875" style="109" customWidth="1"/>
    <col min="5" max="24" width="11.6640625" style="109" customWidth="1"/>
    <col min="25" max="16384" width="9.109375" style="5"/>
  </cols>
  <sheetData>
    <row r="2" spans="2:24" ht="13.8" thickBot="1" x14ac:dyDescent="0.3">
      <c r="B2" s="22" t="s">
        <v>254</v>
      </c>
    </row>
    <row r="3" spans="2:24" x14ac:dyDescent="0.25">
      <c r="B3" s="110" t="s">
        <v>0</v>
      </c>
      <c r="C3" s="111"/>
      <c r="D3" s="112"/>
      <c r="E3" s="113" t="s">
        <v>11</v>
      </c>
      <c r="F3" s="112" t="s">
        <v>12</v>
      </c>
      <c r="G3" s="112" t="s">
        <v>13</v>
      </c>
      <c r="H3" s="112" t="s">
        <v>14</v>
      </c>
      <c r="I3" s="112" t="s">
        <v>15</v>
      </c>
      <c r="J3" s="112" t="s">
        <v>16</v>
      </c>
      <c r="K3" s="112" t="s">
        <v>17</v>
      </c>
      <c r="L3" s="112" t="s">
        <v>18</v>
      </c>
      <c r="M3" s="112" t="s">
        <v>19</v>
      </c>
      <c r="N3" s="112" t="s">
        <v>20</v>
      </c>
      <c r="O3" s="112" t="s">
        <v>21</v>
      </c>
      <c r="P3" s="112" t="s">
        <v>22</v>
      </c>
      <c r="Q3" s="112" t="s">
        <v>23</v>
      </c>
      <c r="R3" s="112" t="s">
        <v>24</v>
      </c>
      <c r="S3" s="112" t="s">
        <v>25</v>
      </c>
      <c r="T3" s="112" t="s">
        <v>26</v>
      </c>
      <c r="U3" s="112" t="s">
        <v>27</v>
      </c>
      <c r="V3" s="112" t="s">
        <v>28</v>
      </c>
      <c r="W3" s="112" t="s">
        <v>29</v>
      </c>
      <c r="X3" s="114" t="s">
        <v>30</v>
      </c>
    </row>
    <row r="4" spans="2:24" x14ac:dyDescent="0.25">
      <c r="B4" s="115" t="s">
        <v>47</v>
      </c>
      <c r="C4" s="116"/>
      <c r="D4" s="117"/>
      <c r="E4" s="118" t="s">
        <v>348</v>
      </c>
      <c r="F4" s="119" t="s">
        <v>345</v>
      </c>
      <c r="G4" s="119"/>
      <c r="H4" s="119">
        <v>4</v>
      </c>
      <c r="I4" s="119">
        <v>5</v>
      </c>
      <c r="J4" s="119"/>
      <c r="K4" s="120" t="s">
        <v>346</v>
      </c>
      <c r="L4" s="120" t="s">
        <v>347</v>
      </c>
      <c r="M4" s="120"/>
      <c r="N4" s="120"/>
      <c r="O4" s="120"/>
      <c r="P4" s="120"/>
      <c r="Q4" s="120"/>
      <c r="R4" s="120"/>
      <c r="S4" s="120"/>
      <c r="T4" s="120"/>
      <c r="U4" s="119"/>
      <c r="V4" s="119"/>
      <c r="W4" s="119"/>
      <c r="X4" s="121"/>
    </row>
    <row r="5" spans="2:24" x14ac:dyDescent="0.25">
      <c r="B5" s="28" t="s">
        <v>33</v>
      </c>
      <c r="C5" s="122"/>
      <c r="D5" s="123"/>
      <c r="E5" s="124" t="s">
        <v>344</v>
      </c>
      <c r="F5" s="125" t="s">
        <v>169</v>
      </c>
      <c r="G5" s="432"/>
      <c r="H5" s="432">
        <v>744</v>
      </c>
      <c r="I5" s="125">
        <v>383</v>
      </c>
      <c r="J5" s="125"/>
      <c r="K5" s="126" t="s">
        <v>344</v>
      </c>
      <c r="L5" s="126" t="s">
        <v>344</v>
      </c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7"/>
    </row>
    <row r="6" spans="2:24" x14ac:dyDescent="0.25">
      <c r="B6" s="128" t="s">
        <v>89</v>
      </c>
      <c r="C6" s="129"/>
      <c r="D6" s="123" t="s">
        <v>34</v>
      </c>
      <c r="E6" s="124">
        <v>1</v>
      </c>
      <c r="F6" s="125">
        <v>1</v>
      </c>
      <c r="G6" s="432"/>
      <c r="H6" s="432">
        <v>1</v>
      </c>
      <c r="I6" s="125">
        <v>1</v>
      </c>
      <c r="J6" s="125"/>
      <c r="K6" s="125">
        <v>1</v>
      </c>
      <c r="L6" s="125">
        <v>1</v>
      </c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7"/>
    </row>
    <row r="7" spans="2:24" x14ac:dyDescent="0.25">
      <c r="B7" s="128" t="s">
        <v>87</v>
      </c>
      <c r="C7" s="129"/>
      <c r="D7" s="123" t="s">
        <v>35</v>
      </c>
      <c r="E7" s="130">
        <v>170</v>
      </c>
      <c r="F7" s="131">
        <v>220</v>
      </c>
      <c r="G7" s="433"/>
      <c r="H7" s="433">
        <v>50</v>
      </c>
      <c r="I7" s="131">
        <v>110</v>
      </c>
      <c r="J7" s="131"/>
      <c r="K7" s="131">
        <v>170</v>
      </c>
      <c r="L7" s="131">
        <v>170</v>
      </c>
      <c r="M7" s="125"/>
      <c r="N7" s="131"/>
      <c r="O7" s="131"/>
      <c r="P7" s="131"/>
      <c r="Q7" s="131"/>
      <c r="R7" s="125"/>
      <c r="S7" s="125"/>
      <c r="T7" s="125"/>
      <c r="U7" s="125"/>
      <c r="V7" s="125"/>
      <c r="W7" s="125"/>
      <c r="X7" s="127"/>
    </row>
    <row r="8" spans="2:24" x14ac:dyDescent="0.25">
      <c r="B8" s="128" t="s">
        <v>91</v>
      </c>
      <c r="C8" s="129"/>
      <c r="D8" s="123" t="s">
        <v>36</v>
      </c>
      <c r="E8" s="124">
        <v>30</v>
      </c>
      <c r="F8" s="125">
        <v>30</v>
      </c>
      <c r="G8" s="432"/>
      <c r="H8" s="432">
        <v>15</v>
      </c>
      <c r="I8" s="125">
        <v>15</v>
      </c>
      <c r="J8" s="125"/>
      <c r="K8" s="125">
        <v>30</v>
      </c>
      <c r="L8" s="125">
        <v>30</v>
      </c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7"/>
    </row>
    <row r="9" spans="2:24" x14ac:dyDescent="0.25">
      <c r="B9" s="132" t="s">
        <v>86</v>
      </c>
      <c r="C9" s="133"/>
      <c r="D9" s="134" t="s">
        <v>9</v>
      </c>
      <c r="E9" s="135">
        <v>90</v>
      </c>
      <c r="F9" s="136">
        <v>90</v>
      </c>
      <c r="G9" s="434"/>
      <c r="H9" s="434">
        <v>90</v>
      </c>
      <c r="I9" s="136">
        <v>90</v>
      </c>
      <c r="J9" s="136"/>
      <c r="K9" s="136">
        <v>90</v>
      </c>
      <c r="L9" s="136">
        <v>90</v>
      </c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7"/>
    </row>
    <row r="10" spans="2:24" x14ac:dyDescent="0.25">
      <c r="B10" s="28" t="s">
        <v>33</v>
      </c>
      <c r="C10" s="122"/>
      <c r="D10" s="123"/>
      <c r="E10" s="124"/>
      <c r="F10" s="125"/>
      <c r="G10" s="125"/>
      <c r="H10" s="125" t="s">
        <v>204</v>
      </c>
      <c r="I10" s="125" t="s">
        <v>204</v>
      </c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7"/>
    </row>
    <row r="11" spans="2:24" x14ac:dyDescent="0.25">
      <c r="B11" s="128" t="s">
        <v>89</v>
      </c>
      <c r="C11" s="129"/>
      <c r="D11" s="123" t="s">
        <v>34</v>
      </c>
      <c r="E11" s="124"/>
      <c r="F11" s="125"/>
      <c r="G11" s="125"/>
      <c r="H11" s="125">
        <v>8</v>
      </c>
      <c r="I11" s="125">
        <v>15</v>
      </c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7"/>
    </row>
    <row r="12" spans="2:24" x14ac:dyDescent="0.25">
      <c r="B12" s="128" t="s">
        <v>87</v>
      </c>
      <c r="C12" s="129"/>
      <c r="D12" s="123" t="s">
        <v>35</v>
      </c>
      <c r="E12" s="124"/>
      <c r="F12" s="125"/>
      <c r="G12" s="125"/>
      <c r="H12" s="125">
        <v>2.9</v>
      </c>
      <c r="I12" s="125">
        <v>2.9</v>
      </c>
      <c r="J12" s="131"/>
      <c r="K12" s="125"/>
      <c r="L12" s="125"/>
      <c r="M12" s="125"/>
      <c r="N12" s="138"/>
      <c r="O12" s="138"/>
      <c r="P12" s="138"/>
      <c r="Q12" s="138"/>
      <c r="R12" s="125"/>
      <c r="S12" s="125"/>
      <c r="T12" s="125"/>
      <c r="U12" s="125"/>
      <c r="V12" s="125"/>
      <c r="W12" s="125"/>
      <c r="X12" s="127"/>
    </row>
    <row r="13" spans="2:24" x14ac:dyDescent="0.25">
      <c r="B13" s="128" t="s">
        <v>91</v>
      </c>
      <c r="C13" s="129"/>
      <c r="D13" s="123" t="s">
        <v>36</v>
      </c>
      <c r="E13" s="124"/>
      <c r="F13" s="125"/>
      <c r="G13" s="125"/>
      <c r="H13" s="125">
        <v>50</v>
      </c>
      <c r="I13" s="125">
        <v>50</v>
      </c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7"/>
    </row>
    <row r="14" spans="2:24" x14ac:dyDescent="0.25">
      <c r="B14" s="132" t="s">
        <v>86</v>
      </c>
      <c r="C14" s="133"/>
      <c r="D14" s="134" t="s">
        <v>9</v>
      </c>
      <c r="E14" s="135"/>
      <c r="F14" s="136"/>
      <c r="G14" s="136"/>
      <c r="H14" s="136">
        <v>90</v>
      </c>
      <c r="I14" s="136">
        <v>90</v>
      </c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7"/>
    </row>
    <row r="15" spans="2:24" x14ac:dyDescent="0.25">
      <c r="B15" s="28" t="s">
        <v>33</v>
      </c>
      <c r="C15" s="122"/>
      <c r="D15" s="123"/>
      <c r="E15" s="124"/>
      <c r="F15" s="125"/>
      <c r="G15" s="125"/>
      <c r="H15" s="125" t="s">
        <v>204</v>
      </c>
      <c r="I15" s="125" t="s">
        <v>204</v>
      </c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7"/>
    </row>
    <row r="16" spans="2:24" x14ac:dyDescent="0.25">
      <c r="B16" s="128" t="s">
        <v>89</v>
      </c>
      <c r="C16" s="129"/>
      <c r="D16" s="123" t="s">
        <v>34</v>
      </c>
      <c r="E16" s="124"/>
      <c r="F16" s="125"/>
      <c r="G16" s="125"/>
      <c r="H16" s="125">
        <v>8</v>
      </c>
      <c r="I16" s="125">
        <v>15</v>
      </c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7"/>
    </row>
    <row r="17" spans="2:25" x14ac:dyDescent="0.25">
      <c r="B17" s="128" t="s">
        <v>87</v>
      </c>
      <c r="C17" s="129"/>
      <c r="D17" s="123" t="s">
        <v>35</v>
      </c>
      <c r="E17" s="124"/>
      <c r="F17" s="125"/>
      <c r="G17" s="125"/>
      <c r="H17" s="125">
        <v>3.2</v>
      </c>
      <c r="I17" s="125">
        <v>3.2</v>
      </c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7"/>
    </row>
    <row r="18" spans="2:25" x14ac:dyDescent="0.25">
      <c r="B18" s="128" t="s">
        <v>91</v>
      </c>
      <c r="C18" s="129"/>
      <c r="D18" s="123" t="s">
        <v>36</v>
      </c>
      <c r="E18" s="124"/>
      <c r="F18" s="125"/>
      <c r="G18" s="125"/>
      <c r="H18" s="125">
        <v>50</v>
      </c>
      <c r="I18" s="125">
        <v>50</v>
      </c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7"/>
    </row>
    <row r="19" spans="2:25" x14ac:dyDescent="0.25">
      <c r="B19" s="132" t="s">
        <v>86</v>
      </c>
      <c r="C19" s="133"/>
      <c r="D19" s="134" t="s">
        <v>9</v>
      </c>
      <c r="E19" s="135"/>
      <c r="F19" s="136"/>
      <c r="G19" s="136"/>
      <c r="H19" s="136">
        <v>90</v>
      </c>
      <c r="I19" s="136">
        <v>90</v>
      </c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7"/>
    </row>
    <row r="20" spans="2:25" x14ac:dyDescent="0.25">
      <c r="B20" s="28" t="s">
        <v>33</v>
      </c>
      <c r="C20" s="122"/>
      <c r="D20" s="123"/>
      <c r="E20" s="124"/>
      <c r="F20" s="125"/>
      <c r="G20" s="125"/>
      <c r="H20" s="125" t="s">
        <v>204</v>
      </c>
      <c r="I20" s="125" t="s">
        <v>204</v>
      </c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7"/>
    </row>
    <row r="21" spans="2:25" x14ac:dyDescent="0.25">
      <c r="B21" s="128" t="s">
        <v>89</v>
      </c>
      <c r="C21" s="129"/>
      <c r="D21" s="123" t="s">
        <v>34</v>
      </c>
      <c r="E21" s="124"/>
      <c r="F21" s="125"/>
      <c r="G21" s="125"/>
      <c r="H21" s="125">
        <v>4</v>
      </c>
      <c r="I21" s="125">
        <v>2</v>
      </c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7"/>
    </row>
    <row r="22" spans="2:25" x14ac:dyDescent="0.25">
      <c r="B22" s="128" t="s">
        <v>87</v>
      </c>
      <c r="C22" s="129"/>
      <c r="D22" s="123" t="s">
        <v>35</v>
      </c>
      <c r="E22" s="124"/>
      <c r="F22" s="125"/>
      <c r="G22" s="125"/>
      <c r="H22" s="125">
        <v>3.2</v>
      </c>
      <c r="I22" s="125">
        <v>3.2</v>
      </c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7"/>
    </row>
    <row r="23" spans="2:25" x14ac:dyDescent="0.25">
      <c r="B23" s="128" t="s">
        <v>91</v>
      </c>
      <c r="C23" s="129"/>
      <c r="D23" s="123" t="s">
        <v>36</v>
      </c>
      <c r="E23" s="124"/>
      <c r="F23" s="125"/>
      <c r="G23" s="125"/>
      <c r="H23" s="125">
        <v>50</v>
      </c>
      <c r="I23" s="125">
        <v>50</v>
      </c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7"/>
    </row>
    <row r="24" spans="2:25" x14ac:dyDescent="0.25">
      <c r="B24" s="132" t="s">
        <v>86</v>
      </c>
      <c r="C24" s="133"/>
      <c r="D24" s="134" t="s">
        <v>9</v>
      </c>
      <c r="E24" s="135"/>
      <c r="F24" s="136"/>
      <c r="G24" s="136"/>
      <c r="H24" s="136">
        <v>90</v>
      </c>
      <c r="I24" s="136">
        <v>90</v>
      </c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7"/>
    </row>
    <row r="25" spans="2:25" x14ac:dyDescent="0.25">
      <c r="B25" s="28" t="s">
        <v>33</v>
      </c>
      <c r="C25" s="122"/>
      <c r="D25" s="123"/>
      <c r="E25" s="124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7"/>
    </row>
    <row r="26" spans="2:25" x14ac:dyDescent="0.25">
      <c r="B26" s="128" t="s">
        <v>89</v>
      </c>
      <c r="C26" s="129"/>
      <c r="D26" s="123" t="s">
        <v>34</v>
      </c>
      <c r="E26" s="124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7"/>
    </row>
    <row r="27" spans="2:25" x14ac:dyDescent="0.25">
      <c r="B27" s="128" t="s">
        <v>87</v>
      </c>
      <c r="C27" s="129"/>
      <c r="D27" s="123" t="s">
        <v>35</v>
      </c>
      <c r="E27" s="124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7"/>
    </row>
    <row r="28" spans="2:25" x14ac:dyDescent="0.25">
      <c r="B28" s="128" t="s">
        <v>91</v>
      </c>
      <c r="C28" s="129"/>
      <c r="D28" s="123" t="s">
        <v>36</v>
      </c>
      <c r="E28" s="124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7"/>
    </row>
    <row r="29" spans="2:25" ht="13.8" thickBot="1" x14ac:dyDescent="0.3">
      <c r="B29" s="128" t="s">
        <v>86</v>
      </c>
      <c r="C29" s="129"/>
      <c r="D29" s="123" t="s">
        <v>9</v>
      </c>
      <c r="E29" s="124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7"/>
    </row>
    <row r="30" spans="2:25" x14ac:dyDescent="0.25">
      <c r="B30" s="139" t="s">
        <v>88</v>
      </c>
      <c r="C30" s="140"/>
      <c r="D30" s="141" t="s">
        <v>37</v>
      </c>
      <c r="E30" s="142">
        <f>E6*E7+E11*E12+E16*E17+E21*E22+E26*E27</f>
        <v>170</v>
      </c>
      <c r="F30" s="143">
        <f>F6*F7+F11*F12+F16*F17+F21*F22+F26*F27</f>
        <v>220</v>
      </c>
      <c r="G30" s="143">
        <f t="shared" ref="G30:X30" si="0">G6*G7+G11*G12+G16*G17+G21*G22+G26*G27</f>
        <v>0</v>
      </c>
      <c r="H30" s="143">
        <f t="shared" si="0"/>
        <v>111.60000000000001</v>
      </c>
      <c r="I30" s="143">
        <f t="shared" si="0"/>
        <v>207.9</v>
      </c>
      <c r="J30" s="143">
        <f t="shared" si="0"/>
        <v>0</v>
      </c>
      <c r="K30" s="143">
        <f t="shared" si="0"/>
        <v>170</v>
      </c>
      <c r="L30" s="143">
        <f t="shared" si="0"/>
        <v>170</v>
      </c>
      <c r="M30" s="143">
        <f t="shared" si="0"/>
        <v>0</v>
      </c>
      <c r="N30" s="143">
        <f t="shared" si="0"/>
        <v>0</v>
      </c>
      <c r="O30" s="143">
        <f t="shared" si="0"/>
        <v>0</v>
      </c>
      <c r="P30" s="143">
        <f t="shared" si="0"/>
        <v>0</v>
      </c>
      <c r="Q30" s="143">
        <f t="shared" si="0"/>
        <v>0</v>
      </c>
      <c r="R30" s="143">
        <f t="shared" si="0"/>
        <v>0</v>
      </c>
      <c r="S30" s="143">
        <f t="shared" si="0"/>
        <v>0</v>
      </c>
      <c r="T30" s="143">
        <f t="shared" si="0"/>
        <v>0</v>
      </c>
      <c r="U30" s="143">
        <f t="shared" si="0"/>
        <v>0</v>
      </c>
      <c r="V30" s="143">
        <f t="shared" si="0"/>
        <v>0</v>
      </c>
      <c r="W30" s="143">
        <f t="shared" si="0"/>
        <v>0</v>
      </c>
      <c r="X30" s="144">
        <f t="shared" si="0"/>
        <v>0</v>
      </c>
    </row>
    <row r="31" spans="2:25" ht="13.8" thickBot="1" x14ac:dyDescent="0.3">
      <c r="B31" s="145" t="s">
        <v>90</v>
      </c>
      <c r="C31" s="146"/>
      <c r="D31" s="147" t="s">
        <v>115</v>
      </c>
      <c r="E31" s="148">
        <f>(E7*E6*(E9/100)+E11*E12*(E14/100)+E16*E17*(E19/100)+E21*E22*(E24/100)+E26*E27*(E29/100))/30</f>
        <v>5.0999999999999996</v>
      </c>
      <c r="F31" s="149">
        <f>(F7*F6*(F9/100)+F11*F12*(F14/100)+F16*F17*(F19/100)+F21*F22*(F24/100)+F26*F27*(F29/100))/30</f>
        <v>6.6</v>
      </c>
      <c r="G31" s="149">
        <f t="shared" ref="G31:X31" si="1">(G7*G6*(G9/100)+G11*G12*(G14/100)+G16*G17*(G19/100)+G21*G22*(G24/100)+G26*G27*(G29/100))/30</f>
        <v>0</v>
      </c>
      <c r="H31" s="149">
        <f t="shared" si="1"/>
        <v>3.3479999999999999</v>
      </c>
      <c r="I31" s="149">
        <f t="shared" si="1"/>
        <v>6.2370000000000001</v>
      </c>
      <c r="J31" s="149">
        <f t="shared" si="1"/>
        <v>0</v>
      </c>
      <c r="K31" s="149">
        <f t="shared" si="1"/>
        <v>5.0999999999999996</v>
      </c>
      <c r="L31" s="149">
        <f t="shared" si="1"/>
        <v>5.0999999999999996</v>
      </c>
      <c r="M31" s="149">
        <f t="shared" si="1"/>
        <v>0</v>
      </c>
      <c r="N31" s="149">
        <f t="shared" si="1"/>
        <v>0</v>
      </c>
      <c r="O31" s="149">
        <f t="shared" si="1"/>
        <v>0</v>
      </c>
      <c r="P31" s="149">
        <f t="shared" si="1"/>
        <v>0</v>
      </c>
      <c r="Q31" s="149">
        <f t="shared" si="1"/>
        <v>0</v>
      </c>
      <c r="R31" s="149">
        <f t="shared" si="1"/>
        <v>0</v>
      </c>
      <c r="S31" s="149">
        <f t="shared" si="1"/>
        <v>0</v>
      </c>
      <c r="T31" s="149">
        <f t="shared" si="1"/>
        <v>0</v>
      </c>
      <c r="U31" s="149">
        <f t="shared" si="1"/>
        <v>0</v>
      </c>
      <c r="V31" s="149">
        <f t="shared" si="1"/>
        <v>0</v>
      </c>
      <c r="W31" s="149">
        <f t="shared" si="1"/>
        <v>0</v>
      </c>
      <c r="X31" s="150">
        <f t="shared" si="1"/>
        <v>0</v>
      </c>
      <c r="Y31" s="151"/>
    </row>
    <row r="32" spans="2:25" s="21" customFormat="1" x14ac:dyDescent="0.25">
      <c r="B32" s="152"/>
      <c r="C32" s="152"/>
      <c r="D32" s="153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151"/>
    </row>
    <row r="33" spans="2:25" s="21" customFormat="1" ht="13.8" thickBot="1" x14ac:dyDescent="0.3">
      <c r="B33" s="22" t="s">
        <v>255</v>
      </c>
      <c r="C33" s="5"/>
      <c r="D33" s="109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1"/>
    </row>
    <row r="34" spans="2:25" s="21" customFormat="1" x14ac:dyDescent="0.25">
      <c r="B34" s="479" t="s">
        <v>312</v>
      </c>
      <c r="C34" s="156"/>
      <c r="D34" s="157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9"/>
      <c r="Y34" s="151"/>
    </row>
    <row r="35" spans="2:25" s="21" customFormat="1" x14ac:dyDescent="0.25">
      <c r="B35" s="480"/>
      <c r="C35" s="160" t="s">
        <v>130</v>
      </c>
      <c r="D35" s="160" t="s">
        <v>9</v>
      </c>
      <c r="E35" s="161">
        <v>37.037037037037003</v>
      </c>
      <c r="F35" s="161">
        <v>67.857142857142861</v>
      </c>
      <c r="G35" s="161"/>
      <c r="H35" s="161">
        <v>35.337037037037014</v>
      </c>
      <c r="I35" s="161">
        <v>40.833333333333336</v>
      </c>
      <c r="J35" s="161"/>
      <c r="K35" s="161">
        <v>37.037037037037003</v>
      </c>
      <c r="L35" s="161">
        <v>37.037037037037003</v>
      </c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2"/>
      <c r="Y35" s="151"/>
    </row>
    <row r="36" spans="2:25" s="21" customFormat="1" x14ac:dyDescent="0.25">
      <c r="B36" s="480"/>
      <c r="C36" s="163" t="s">
        <v>320</v>
      </c>
      <c r="D36" s="163" t="s">
        <v>9</v>
      </c>
      <c r="E36" s="164">
        <f t="shared" ref="E36:X36" si="2">IF(E35&gt;0,100-E35,"")</f>
        <v>62.962962962962997</v>
      </c>
      <c r="F36" s="164">
        <f t="shared" si="2"/>
        <v>32.142857142857139</v>
      </c>
      <c r="G36" s="164" t="str">
        <f t="shared" si="2"/>
        <v/>
      </c>
      <c r="H36" s="164">
        <f t="shared" si="2"/>
        <v>64.662962962962979</v>
      </c>
      <c r="I36" s="164">
        <f t="shared" si="2"/>
        <v>59.166666666666664</v>
      </c>
      <c r="J36" s="164" t="str">
        <f t="shared" si="2"/>
        <v/>
      </c>
      <c r="K36" s="164">
        <f t="shared" si="2"/>
        <v>62.962962962962997</v>
      </c>
      <c r="L36" s="164">
        <f t="shared" si="2"/>
        <v>62.962962962962997</v>
      </c>
      <c r="M36" s="164" t="str">
        <f t="shared" si="2"/>
        <v/>
      </c>
      <c r="N36" s="164" t="str">
        <f t="shared" si="2"/>
        <v/>
      </c>
      <c r="O36" s="164" t="str">
        <f t="shared" si="2"/>
        <v/>
      </c>
      <c r="P36" s="164" t="str">
        <f t="shared" si="2"/>
        <v/>
      </c>
      <c r="Q36" s="164" t="str">
        <f t="shared" si="2"/>
        <v/>
      </c>
      <c r="R36" s="164" t="str">
        <f t="shared" si="2"/>
        <v/>
      </c>
      <c r="S36" s="164" t="str">
        <f t="shared" si="2"/>
        <v/>
      </c>
      <c r="T36" s="164" t="str">
        <f t="shared" si="2"/>
        <v/>
      </c>
      <c r="U36" s="164" t="str">
        <f t="shared" si="2"/>
        <v/>
      </c>
      <c r="V36" s="164" t="str">
        <f t="shared" si="2"/>
        <v/>
      </c>
      <c r="W36" s="164" t="str">
        <f t="shared" si="2"/>
        <v/>
      </c>
      <c r="X36" s="165" t="str">
        <f t="shared" si="2"/>
        <v/>
      </c>
      <c r="Y36" s="151"/>
    </row>
    <row r="37" spans="2:25" s="21" customFormat="1" ht="13.8" thickBot="1" x14ac:dyDescent="0.3">
      <c r="B37" s="481"/>
      <c r="C37" s="59"/>
      <c r="D37" s="59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7"/>
      <c r="Y37" s="151"/>
    </row>
    <row r="38" spans="2:25" s="21" customFormat="1" x14ac:dyDescent="0.25">
      <c r="B38" s="5"/>
      <c r="C38" s="5"/>
      <c r="D38" s="109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51"/>
    </row>
    <row r="39" spans="2:25" s="21" customFormat="1" ht="13.8" thickBot="1" x14ac:dyDescent="0.3">
      <c r="B39" s="22" t="s">
        <v>256</v>
      </c>
      <c r="C39" s="5"/>
      <c r="D39" s="109"/>
      <c r="E39" s="109"/>
      <c r="F39" s="109"/>
      <c r="G39" s="109"/>
      <c r="H39" s="16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51"/>
    </row>
    <row r="40" spans="2:25" s="21" customFormat="1" x14ac:dyDescent="0.25">
      <c r="B40" s="110" t="s">
        <v>132</v>
      </c>
      <c r="C40" s="111"/>
      <c r="D40" s="112"/>
      <c r="E40" s="170" t="str">
        <f t="shared" ref="E40:X40" si="3">IF(E4="","",E4)</f>
        <v>S9, S10</v>
      </c>
      <c r="F40" s="171" t="str">
        <f t="shared" si="3"/>
        <v>S1</v>
      </c>
      <c r="G40" s="171" t="str">
        <f t="shared" si="3"/>
        <v/>
      </c>
      <c r="H40" s="171">
        <f t="shared" si="3"/>
        <v>4</v>
      </c>
      <c r="I40" s="171">
        <f t="shared" si="3"/>
        <v>5</v>
      </c>
      <c r="J40" s="171" t="str">
        <f t="shared" si="3"/>
        <v/>
      </c>
      <c r="K40" s="171" t="str">
        <f t="shared" si="3"/>
        <v>R27</v>
      </c>
      <c r="L40" s="171" t="str">
        <f t="shared" si="3"/>
        <v>R61</v>
      </c>
      <c r="M40" s="171" t="str">
        <f t="shared" si="3"/>
        <v/>
      </c>
      <c r="N40" s="171" t="str">
        <f t="shared" si="3"/>
        <v/>
      </c>
      <c r="O40" s="171" t="str">
        <f t="shared" si="3"/>
        <v/>
      </c>
      <c r="P40" s="171" t="str">
        <f t="shared" si="3"/>
        <v/>
      </c>
      <c r="Q40" s="171" t="str">
        <f t="shared" si="3"/>
        <v/>
      </c>
      <c r="R40" s="171" t="str">
        <f t="shared" si="3"/>
        <v/>
      </c>
      <c r="S40" s="171" t="str">
        <f t="shared" si="3"/>
        <v/>
      </c>
      <c r="T40" s="171" t="str">
        <f t="shared" si="3"/>
        <v/>
      </c>
      <c r="U40" s="171" t="str">
        <f t="shared" si="3"/>
        <v/>
      </c>
      <c r="V40" s="171" t="str">
        <f t="shared" si="3"/>
        <v/>
      </c>
      <c r="W40" s="171" t="str">
        <f t="shared" si="3"/>
        <v/>
      </c>
      <c r="X40" s="172" t="str">
        <f t="shared" si="3"/>
        <v/>
      </c>
      <c r="Y40" s="151"/>
    </row>
    <row r="41" spans="2:25" s="21" customFormat="1" x14ac:dyDescent="0.25">
      <c r="B41" s="173" t="s">
        <v>133</v>
      </c>
      <c r="C41" s="174"/>
      <c r="D41" s="175" t="s">
        <v>55</v>
      </c>
      <c r="E41" s="176">
        <f>IF(E31&gt;0,E31/8760*1000000,"-")</f>
        <v>582.19178082191775</v>
      </c>
      <c r="F41" s="176">
        <f t="shared" ref="F41:X41" si="4">IF(F31&gt;0,F31/8760*1000000,"-")</f>
        <v>753.42465753424653</v>
      </c>
      <c r="G41" s="176" t="str">
        <f t="shared" si="4"/>
        <v>-</v>
      </c>
      <c r="H41" s="176">
        <f t="shared" si="4"/>
        <v>382.1917808219178</v>
      </c>
      <c r="I41" s="176">
        <f t="shared" si="4"/>
        <v>711.9863013698631</v>
      </c>
      <c r="J41" s="176" t="str">
        <f t="shared" si="4"/>
        <v>-</v>
      </c>
      <c r="K41" s="176">
        <f t="shared" si="4"/>
        <v>582.19178082191775</v>
      </c>
      <c r="L41" s="176">
        <f t="shared" si="4"/>
        <v>582.19178082191775</v>
      </c>
      <c r="M41" s="176" t="str">
        <f t="shared" si="4"/>
        <v>-</v>
      </c>
      <c r="N41" s="176" t="str">
        <f t="shared" si="4"/>
        <v>-</v>
      </c>
      <c r="O41" s="176" t="str">
        <f t="shared" si="4"/>
        <v>-</v>
      </c>
      <c r="P41" s="176" t="str">
        <f t="shared" si="4"/>
        <v>-</v>
      </c>
      <c r="Q41" s="176" t="str">
        <f t="shared" si="4"/>
        <v>-</v>
      </c>
      <c r="R41" s="176" t="str">
        <f t="shared" si="4"/>
        <v>-</v>
      </c>
      <c r="S41" s="176" t="str">
        <f t="shared" si="4"/>
        <v>-</v>
      </c>
      <c r="T41" s="176" t="str">
        <f t="shared" si="4"/>
        <v>-</v>
      </c>
      <c r="U41" s="176" t="str">
        <f t="shared" si="4"/>
        <v>-</v>
      </c>
      <c r="V41" s="176" t="str">
        <f t="shared" si="4"/>
        <v>-</v>
      </c>
      <c r="W41" s="176" t="str">
        <f t="shared" si="4"/>
        <v>-</v>
      </c>
      <c r="X41" s="177" t="str">
        <f t="shared" si="4"/>
        <v>-</v>
      </c>
      <c r="Y41" s="151"/>
    </row>
    <row r="42" spans="2:25" s="21" customFormat="1" ht="13.8" thickBot="1" x14ac:dyDescent="0.3">
      <c r="B42" s="178" t="s">
        <v>322</v>
      </c>
      <c r="C42" s="179"/>
      <c r="D42" s="180" t="s">
        <v>55</v>
      </c>
      <c r="E42" s="181">
        <f>IF(E30&gt;0,E30/30/8760*1000000,"-")</f>
        <v>646.87975646879761</v>
      </c>
      <c r="F42" s="181">
        <f t="shared" ref="F42:X42" si="5">IF(F30&gt;0,F30/30/8760*1000000,"-")</f>
        <v>837.13850837138511</v>
      </c>
      <c r="G42" s="181" t="str">
        <f t="shared" si="5"/>
        <v>-</v>
      </c>
      <c r="H42" s="181">
        <f t="shared" si="5"/>
        <v>424.65753424657538</v>
      </c>
      <c r="I42" s="181">
        <f t="shared" si="5"/>
        <v>791.09589041095899</v>
      </c>
      <c r="J42" s="181" t="str">
        <f t="shared" si="5"/>
        <v>-</v>
      </c>
      <c r="K42" s="181">
        <f t="shared" si="5"/>
        <v>646.87975646879761</v>
      </c>
      <c r="L42" s="181">
        <f t="shared" si="5"/>
        <v>646.87975646879761</v>
      </c>
      <c r="M42" s="181" t="str">
        <f t="shared" si="5"/>
        <v>-</v>
      </c>
      <c r="N42" s="181" t="str">
        <f t="shared" si="5"/>
        <v>-</v>
      </c>
      <c r="O42" s="181" t="str">
        <f t="shared" si="5"/>
        <v>-</v>
      </c>
      <c r="P42" s="181" t="str">
        <f t="shared" si="5"/>
        <v>-</v>
      </c>
      <c r="Q42" s="181" t="str">
        <f t="shared" si="5"/>
        <v>-</v>
      </c>
      <c r="R42" s="181" t="str">
        <f t="shared" si="5"/>
        <v>-</v>
      </c>
      <c r="S42" s="181" t="str">
        <f t="shared" si="5"/>
        <v>-</v>
      </c>
      <c r="T42" s="181" t="str">
        <f t="shared" si="5"/>
        <v>-</v>
      </c>
      <c r="U42" s="181" t="str">
        <f t="shared" si="5"/>
        <v>-</v>
      </c>
      <c r="V42" s="181" t="str">
        <f t="shared" si="5"/>
        <v>-</v>
      </c>
      <c r="W42" s="181" t="str">
        <f t="shared" si="5"/>
        <v>-</v>
      </c>
      <c r="X42" s="182" t="str">
        <f t="shared" si="5"/>
        <v>-</v>
      </c>
      <c r="Y42" s="151"/>
    </row>
    <row r="43" spans="2:25" s="21" customFormat="1" x14ac:dyDescent="0.25">
      <c r="B43" s="152"/>
      <c r="C43" s="152"/>
      <c r="D43" s="153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1"/>
    </row>
    <row r="44" spans="2:25" s="21" customFormat="1" ht="13.8" thickBot="1" x14ac:dyDescent="0.3">
      <c r="B44" s="22" t="s">
        <v>257</v>
      </c>
      <c r="C44" s="5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51"/>
    </row>
    <row r="45" spans="2:25" s="21" customFormat="1" x14ac:dyDescent="0.25">
      <c r="B45" s="110" t="s">
        <v>134</v>
      </c>
      <c r="C45" s="111"/>
      <c r="D45" s="112"/>
      <c r="E45" s="170" t="str">
        <f t="shared" ref="E45:X45" si="6">IF(E4="","",E4)</f>
        <v>S9, S10</v>
      </c>
      <c r="F45" s="171" t="str">
        <f t="shared" si="6"/>
        <v>S1</v>
      </c>
      <c r="G45" s="171" t="str">
        <f t="shared" si="6"/>
        <v/>
      </c>
      <c r="H45" s="171">
        <f t="shared" si="6"/>
        <v>4</v>
      </c>
      <c r="I45" s="171">
        <f t="shared" si="6"/>
        <v>5</v>
      </c>
      <c r="J45" s="171" t="str">
        <f t="shared" si="6"/>
        <v/>
      </c>
      <c r="K45" s="171" t="str">
        <f t="shared" si="6"/>
        <v>R27</v>
      </c>
      <c r="L45" s="171" t="str">
        <f t="shared" si="6"/>
        <v>R61</v>
      </c>
      <c r="M45" s="171" t="str">
        <f t="shared" si="6"/>
        <v/>
      </c>
      <c r="N45" s="171" t="str">
        <f t="shared" si="6"/>
        <v/>
      </c>
      <c r="O45" s="171" t="str">
        <f t="shared" si="6"/>
        <v/>
      </c>
      <c r="P45" s="171" t="str">
        <f t="shared" si="6"/>
        <v/>
      </c>
      <c r="Q45" s="171" t="str">
        <f t="shared" si="6"/>
        <v/>
      </c>
      <c r="R45" s="171" t="str">
        <f t="shared" si="6"/>
        <v/>
      </c>
      <c r="S45" s="171" t="str">
        <f t="shared" si="6"/>
        <v/>
      </c>
      <c r="T45" s="171" t="str">
        <f t="shared" si="6"/>
        <v/>
      </c>
      <c r="U45" s="171" t="str">
        <f t="shared" si="6"/>
        <v/>
      </c>
      <c r="V45" s="171" t="str">
        <f t="shared" si="6"/>
        <v/>
      </c>
      <c r="W45" s="171" t="str">
        <f t="shared" si="6"/>
        <v/>
      </c>
      <c r="X45" s="172" t="str">
        <f t="shared" si="6"/>
        <v/>
      </c>
      <c r="Y45" s="151"/>
    </row>
    <row r="46" spans="2:25" s="21" customFormat="1" x14ac:dyDescent="0.25">
      <c r="B46" s="173" t="s">
        <v>133</v>
      </c>
      <c r="C46" s="174"/>
      <c r="D46" s="175" t="s">
        <v>135</v>
      </c>
      <c r="E46" s="183">
        <f>IF((E35&gt;0),E41/E$35*SUM(E34:E37),"-")</f>
        <v>1571.9178082191795</v>
      </c>
      <c r="F46" s="183">
        <f t="shared" ref="F46:X46" si="7">IF((F35&gt;0),F41/F$35*SUM(F34:F37),"-")</f>
        <v>1110.3100216294158</v>
      </c>
      <c r="G46" s="183" t="str">
        <f t="shared" si="7"/>
        <v>-</v>
      </c>
      <c r="H46" s="183">
        <f t="shared" si="7"/>
        <v>1081.5614801584516</v>
      </c>
      <c r="I46" s="183">
        <f t="shared" si="7"/>
        <v>1743.6399217221137</v>
      </c>
      <c r="J46" s="183" t="str">
        <f t="shared" si="7"/>
        <v>-</v>
      </c>
      <c r="K46" s="183">
        <f t="shared" si="7"/>
        <v>1571.9178082191795</v>
      </c>
      <c r="L46" s="183">
        <f t="shared" si="7"/>
        <v>1571.9178082191795</v>
      </c>
      <c r="M46" s="183" t="str">
        <f t="shared" si="7"/>
        <v>-</v>
      </c>
      <c r="N46" s="183" t="str">
        <f t="shared" si="7"/>
        <v>-</v>
      </c>
      <c r="O46" s="183" t="str">
        <f t="shared" si="7"/>
        <v>-</v>
      </c>
      <c r="P46" s="183" t="str">
        <f t="shared" si="7"/>
        <v>-</v>
      </c>
      <c r="Q46" s="183" t="str">
        <f t="shared" si="7"/>
        <v>-</v>
      </c>
      <c r="R46" s="183" t="str">
        <f t="shared" si="7"/>
        <v>-</v>
      </c>
      <c r="S46" s="183" t="str">
        <f t="shared" si="7"/>
        <v>-</v>
      </c>
      <c r="T46" s="183" t="str">
        <f t="shared" si="7"/>
        <v>-</v>
      </c>
      <c r="U46" s="183" t="str">
        <f t="shared" si="7"/>
        <v>-</v>
      </c>
      <c r="V46" s="183" t="str">
        <f t="shared" si="7"/>
        <v>-</v>
      </c>
      <c r="W46" s="183" t="str">
        <f t="shared" si="7"/>
        <v>-</v>
      </c>
      <c r="X46" s="184" t="str">
        <f t="shared" si="7"/>
        <v>-</v>
      </c>
      <c r="Y46" s="151"/>
    </row>
    <row r="47" spans="2:25" s="21" customFormat="1" ht="13.8" thickBot="1" x14ac:dyDescent="0.3">
      <c r="B47" s="178" t="s">
        <v>322</v>
      </c>
      <c r="C47" s="179"/>
      <c r="D47" s="180" t="s">
        <v>135</v>
      </c>
      <c r="E47" s="185">
        <f>IF(E35&gt;0,E42/E$35*SUM(E34:E37),"-")</f>
        <v>1746.5753424657553</v>
      </c>
      <c r="F47" s="185">
        <f t="shared" ref="F47:X47" si="8">IF(F35&gt;0,F42/F$35*SUM(F34:F37),"-")</f>
        <v>1233.6778018104621</v>
      </c>
      <c r="G47" s="185" t="str">
        <f t="shared" si="8"/>
        <v>-</v>
      </c>
      <c r="H47" s="185">
        <f t="shared" si="8"/>
        <v>1201.7349779538354</v>
      </c>
      <c r="I47" s="185">
        <f t="shared" si="8"/>
        <v>1937.3776908023483</v>
      </c>
      <c r="J47" s="185" t="str">
        <f t="shared" si="8"/>
        <v>-</v>
      </c>
      <c r="K47" s="185">
        <f t="shared" si="8"/>
        <v>1746.5753424657553</v>
      </c>
      <c r="L47" s="185">
        <f t="shared" si="8"/>
        <v>1746.5753424657553</v>
      </c>
      <c r="M47" s="185" t="str">
        <f t="shared" si="8"/>
        <v>-</v>
      </c>
      <c r="N47" s="185" t="str">
        <f t="shared" si="8"/>
        <v>-</v>
      </c>
      <c r="O47" s="185" t="str">
        <f t="shared" si="8"/>
        <v>-</v>
      </c>
      <c r="P47" s="185" t="str">
        <f t="shared" si="8"/>
        <v>-</v>
      </c>
      <c r="Q47" s="185" t="str">
        <f t="shared" si="8"/>
        <v>-</v>
      </c>
      <c r="R47" s="185" t="str">
        <f t="shared" si="8"/>
        <v>-</v>
      </c>
      <c r="S47" s="185" t="str">
        <f t="shared" si="8"/>
        <v>-</v>
      </c>
      <c r="T47" s="185" t="str">
        <f t="shared" si="8"/>
        <v>-</v>
      </c>
      <c r="U47" s="185" t="str">
        <f t="shared" si="8"/>
        <v>-</v>
      </c>
      <c r="V47" s="185" t="str">
        <f t="shared" si="8"/>
        <v>-</v>
      </c>
      <c r="W47" s="185" t="str">
        <f t="shared" si="8"/>
        <v>-</v>
      </c>
      <c r="X47" s="186" t="str">
        <f t="shared" si="8"/>
        <v>-</v>
      </c>
      <c r="Y47" s="151"/>
    </row>
    <row r="48" spans="2:25" x14ac:dyDescent="0.25">
      <c r="B48" s="152"/>
      <c r="C48" s="187"/>
      <c r="D48" s="153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</row>
    <row r="49" spans="2:25" ht="13.8" hidden="1" thickBot="1" x14ac:dyDescent="0.3">
      <c r="B49" s="22" t="s">
        <v>258</v>
      </c>
      <c r="C49" s="152"/>
      <c r="D49" s="188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21"/>
    </row>
    <row r="50" spans="2:25" s="195" customFormat="1" hidden="1" x14ac:dyDescent="0.25">
      <c r="B50" s="190"/>
      <c r="C50" s="191"/>
      <c r="D50" s="192" t="s">
        <v>92</v>
      </c>
      <c r="E50" s="193" t="str">
        <f>IF(E4="","",E4)</f>
        <v>S9, S10</v>
      </c>
      <c r="F50" s="193" t="str">
        <f t="shared" ref="F50:X50" si="9">IF(F4="","",F4)</f>
        <v>S1</v>
      </c>
      <c r="G50" s="193" t="str">
        <f t="shared" si="9"/>
        <v/>
      </c>
      <c r="H50" s="193">
        <f t="shared" si="9"/>
        <v>4</v>
      </c>
      <c r="I50" s="193">
        <f t="shared" si="9"/>
        <v>5</v>
      </c>
      <c r="J50" s="193" t="str">
        <f t="shared" si="9"/>
        <v/>
      </c>
      <c r="K50" s="193" t="str">
        <f t="shared" si="9"/>
        <v>R27</v>
      </c>
      <c r="L50" s="193" t="str">
        <f t="shared" si="9"/>
        <v>R61</v>
      </c>
      <c r="M50" s="193" t="str">
        <f t="shared" si="9"/>
        <v/>
      </c>
      <c r="N50" s="193" t="str">
        <f t="shared" si="9"/>
        <v/>
      </c>
      <c r="O50" s="193" t="str">
        <f t="shared" si="9"/>
        <v/>
      </c>
      <c r="P50" s="193" t="str">
        <f t="shared" si="9"/>
        <v/>
      </c>
      <c r="Q50" s="193" t="str">
        <f t="shared" si="9"/>
        <v/>
      </c>
      <c r="R50" s="193" t="str">
        <f t="shared" si="9"/>
        <v/>
      </c>
      <c r="S50" s="193" t="str">
        <f t="shared" si="9"/>
        <v/>
      </c>
      <c r="T50" s="193" t="str">
        <f t="shared" si="9"/>
        <v/>
      </c>
      <c r="U50" s="193" t="str">
        <f t="shared" si="9"/>
        <v/>
      </c>
      <c r="V50" s="193" t="str">
        <f t="shared" si="9"/>
        <v/>
      </c>
      <c r="W50" s="193" t="str">
        <f t="shared" si="9"/>
        <v/>
      </c>
      <c r="X50" s="194" t="str">
        <f t="shared" si="9"/>
        <v/>
      </c>
    </row>
    <row r="51" spans="2:25" hidden="1" x14ac:dyDescent="0.25">
      <c r="B51" s="476" t="s">
        <v>131</v>
      </c>
      <c r="C51" s="196" t="s">
        <v>56</v>
      </c>
      <c r="D51" s="197">
        <f t="shared" ref="D51:D80" si="10">SUM(E51:X51)</f>
        <v>69.674999999999997</v>
      </c>
      <c r="E51" s="164">
        <f t="shared" ref="E51:X51" si="11">IF(E$8&gt;=1,E$7*E$6/E$8,0)+IF(E$13&gt;=1,E$12*E$11/E$13,0)+IF(E$18&gt;=1,E$17*E$16/E$18,0)+IF(E$23&gt;=1,E$22*E$21/E$23,0)+IF(E$28&gt;=1,E$27*E$26/E$28,0)+E$31</f>
        <v>10.766666666666666</v>
      </c>
      <c r="F51" s="164">
        <f t="shared" si="11"/>
        <v>13.933333333333334</v>
      </c>
      <c r="G51" s="164">
        <f t="shared" si="11"/>
        <v>0</v>
      </c>
      <c r="H51" s="164">
        <f t="shared" si="11"/>
        <v>7.9133333333333331</v>
      </c>
      <c r="I51" s="164">
        <f t="shared" si="11"/>
        <v>15.528333333333334</v>
      </c>
      <c r="J51" s="164">
        <f t="shared" si="11"/>
        <v>0</v>
      </c>
      <c r="K51" s="164">
        <f t="shared" si="11"/>
        <v>10.766666666666666</v>
      </c>
      <c r="L51" s="164">
        <f t="shared" si="11"/>
        <v>10.766666666666666</v>
      </c>
      <c r="M51" s="164">
        <f t="shared" si="11"/>
        <v>0</v>
      </c>
      <c r="N51" s="164">
        <f t="shared" si="11"/>
        <v>0</v>
      </c>
      <c r="O51" s="164">
        <f t="shared" si="11"/>
        <v>0</v>
      </c>
      <c r="P51" s="164">
        <f t="shared" si="11"/>
        <v>0</v>
      </c>
      <c r="Q51" s="164">
        <f t="shared" si="11"/>
        <v>0</v>
      </c>
      <c r="R51" s="164">
        <f t="shared" si="11"/>
        <v>0</v>
      </c>
      <c r="S51" s="164">
        <f t="shared" si="11"/>
        <v>0</v>
      </c>
      <c r="T51" s="164">
        <f t="shared" si="11"/>
        <v>0</v>
      </c>
      <c r="U51" s="164">
        <f t="shared" si="11"/>
        <v>0</v>
      </c>
      <c r="V51" s="164">
        <f t="shared" si="11"/>
        <v>0</v>
      </c>
      <c r="W51" s="164">
        <f t="shared" si="11"/>
        <v>0</v>
      </c>
      <c r="X51" s="165">
        <f t="shared" si="11"/>
        <v>0</v>
      </c>
    </row>
    <row r="52" spans="2:25" hidden="1" x14ac:dyDescent="0.25">
      <c r="B52" s="477"/>
      <c r="C52" s="196" t="s">
        <v>57</v>
      </c>
      <c r="D52" s="197">
        <f t="shared" si="10"/>
        <v>69.674999999999997</v>
      </c>
      <c r="E52" s="164">
        <f t="shared" ref="E52:X52" si="12">IF(E$8&gt;=2,E$7*E$6/E$8,0)+IF(E$13&gt;=2,E$12*E$11/E$13,0)+IF(E$18&gt;=2,E$17*E$16/E$18,0)+IF(E$23&gt;=2,E$22*E$21/E$23,0)+IF(E$28&gt;=2,E$27*E$26/E$28,0)+E$31</f>
        <v>10.766666666666666</v>
      </c>
      <c r="F52" s="164">
        <f t="shared" si="12"/>
        <v>13.933333333333334</v>
      </c>
      <c r="G52" s="164">
        <f t="shared" si="12"/>
        <v>0</v>
      </c>
      <c r="H52" s="164">
        <f t="shared" si="12"/>
        <v>7.9133333333333331</v>
      </c>
      <c r="I52" s="164">
        <f t="shared" si="12"/>
        <v>15.528333333333334</v>
      </c>
      <c r="J52" s="164">
        <f t="shared" si="12"/>
        <v>0</v>
      </c>
      <c r="K52" s="164">
        <f t="shared" si="12"/>
        <v>10.766666666666666</v>
      </c>
      <c r="L52" s="164">
        <f t="shared" si="12"/>
        <v>10.766666666666666</v>
      </c>
      <c r="M52" s="164">
        <f t="shared" si="12"/>
        <v>0</v>
      </c>
      <c r="N52" s="164">
        <f t="shared" si="12"/>
        <v>0</v>
      </c>
      <c r="O52" s="164">
        <f t="shared" si="12"/>
        <v>0</v>
      </c>
      <c r="P52" s="164">
        <f t="shared" si="12"/>
        <v>0</v>
      </c>
      <c r="Q52" s="164">
        <f t="shared" si="12"/>
        <v>0</v>
      </c>
      <c r="R52" s="164">
        <f t="shared" si="12"/>
        <v>0</v>
      </c>
      <c r="S52" s="164">
        <f t="shared" si="12"/>
        <v>0</v>
      </c>
      <c r="T52" s="164">
        <f t="shared" si="12"/>
        <v>0</v>
      </c>
      <c r="U52" s="164">
        <f t="shared" si="12"/>
        <v>0</v>
      </c>
      <c r="V52" s="164">
        <f t="shared" si="12"/>
        <v>0</v>
      </c>
      <c r="W52" s="164">
        <f t="shared" si="12"/>
        <v>0</v>
      </c>
      <c r="X52" s="165">
        <f t="shared" si="12"/>
        <v>0</v>
      </c>
    </row>
    <row r="53" spans="2:25" hidden="1" x14ac:dyDescent="0.25">
      <c r="B53" s="477"/>
      <c r="C53" s="196" t="s">
        <v>58</v>
      </c>
      <c r="D53" s="197">
        <f t="shared" si="10"/>
        <v>69.674999999999997</v>
      </c>
      <c r="E53" s="164">
        <f t="shared" ref="E53:X53" si="13">IF(E$8&gt;=3,E$7*E$6/E$8,0)+IF(E$13&gt;=3,E$12*E$11/E$13,0)+IF(E$18&gt;=3,E$17*E$16/E$18,0)+IF(E$23&gt;=3,E$22*E$21/E$23,0)+IF(E$28&gt;=3,E$27*E$26/E$28,0)+E$31</f>
        <v>10.766666666666666</v>
      </c>
      <c r="F53" s="164">
        <f t="shared" si="13"/>
        <v>13.933333333333334</v>
      </c>
      <c r="G53" s="164">
        <f t="shared" si="13"/>
        <v>0</v>
      </c>
      <c r="H53" s="164">
        <f t="shared" si="13"/>
        <v>7.9133333333333331</v>
      </c>
      <c r="I53" s="164">
        <f t="shared" si="13"/>
        <v>15.528333333333334</v>
      </c>
      <c r="J53" s="164">
        <f t="shared" si="13"/>
        <v>0</v>
      </c>
      <c r="K53" s="164">
        <f t="shared" si="13"/>
        <v>10.766666666666666</v>
      </c>
      <c r="L53" s="164">
        <f t="shared" si="13"/>
        <v>10.766666666666666</v>
      </c>
      <c r="M53" s="164">
        <f t="shared" si="13"/>
        <v>0</v>
      </c>
      <c r="N53" s="164">
        <f t="shared" si="13"/>
        <v>0</v>
      </c>
      <c r="O53" s="164">
        <f t="shared" si="13"/>
        <v>0</v>
      </c>
      <c r="P53" s="164">
        <f t="shared" si="13"/>
        <v>0</v>
      </c>
      <c r="Q53" s="164">
        <f t="shared" si="13"/>
        <v>0</v>
      </c>
      <c r="R53" s="164">
        <f t="shared" si="13"/>
        <v>0</v>
      </c>
      <c r="S53" s="164">
        <f t="shared" si="13"/>
        <v>0</v>
      </c>
      <c r="T53" s="164">
        <f t="shared" si="13"/>
        <v>0</v>
      </c>
      <c r="U53" s="164">
        <f t="shared" si="13"/>
        <v>0</v>
      </c>
      <c r="V53" s="164">
        <f t="shared" si="13"/>
        <v>0</v>
      </c>
      <c r="W53" s="164">
        <f t="shared" si="13"/>
        <v>0</v>
      </c>
      <c r="X53" s="165">
        <f t="shared" si="13"/>
        <v>0</v>
      </c>
    </row>
    <row r="54" spans="2:25" hidden="1" x14ac:dyDescent="0.25">
      <c r="B54" s="477"/>
      <c r="C54" s="196" t="s">
        <v>59</v>
      </c>
      <c r="D54" s="197">
        <f t="shared" si="10"/>
        <v>69.674999999999997</v>
      </c>
      <c r="E54" s="164">
        <f t="shared" ref="E54:X54" si="14">IF(E$8&gt;=4,E$7*E$6/E$8,0)+IF(E$13&gt;=4,E$12*E$11/E$13,0)+IF(E$18&gt;=4,E$17*E$16/E$18,0)+IF(E$23&gt;=4,E$22*E$21/E$23,0)+IF(E$28&gt;=4,E$27*E$26/E$28,0)+E$31</f>
        <v>10.766666666666666</v>
      </c>
      <c r="F54" s="164">
        <f t="shared" si="14"/>
        <v>13.933333333333334</v>
      </c>
      <c r="G54" s="164">
        <f t="shared" si="14"/>
        <v>0</v>
      </c>
      <c r="H54" s="164">
        <f t="shared" si="14"/>
        <v>7.9133333333333331</v>
      </c>
      <c r="I54" s="164">
        <f t="shared" si="14"/>
        <v>15.528333333333334</v>
      </c>
      <c r="J54" s="164">
        <f t="shared" si="14"/>
        <v>0</v>
      </c>
      <c r="K54" s="164">
        <f t="shared" si="14"/>
        <v>10.766666666666666</v>
      </c>
      <c r="L54" s="164">
        <f t="shared" si="14"/>
        <v>10.766666666666666</v>
      </c>
      <c r="M54" s="164">
        <f t="shared" si="14"/>
        <v>0</v>
      </c>
      <c r="N54" s="164">
        <f t="shared" si="14"/>
        <v>0</v>
      </c>
      <c r="O54" s="164">
        <f t="shared" si="14"/>
        <v>0</v>
      </c>
      <c r="P54" s="164">
        <f t="shared" si="14"/>
        <v>0</v>
      </c>
      <c r="Q54" s="164">
        <f t="shared" si="14"/>
        <v>0</v>
      </c>
      <c r="R54" s="164">
        <f t="shared" si="14"/>
        <v>0</v>
      </c>
      <c r="S54" s="164">
        <f t="shared" si="14"/>
        <v>0</v>
      </c>
      <c r="T54" s="164">
        <f t="shared" si="14"/>
        <v>0</v>
      </c>
      <c r="U54" s="164">
        <f t="shared" si="14"/>
        <v>0</v>
      </c>
      <c r="V54" s="164">
        <f t="shared" si="14"/>
        <v>0</v>
      </c>
      <c r="W54" s="164">
        <f t="shared" si="14"/>
        <v>0</v>
      </c>
      <c r="X54" s="165">
        <f t="shared" si="14"/>
        <v>0</v>
      </c>
    </row>
    <row r="55" spans="2:25" hidden="1" x14ac:dyDescent="0.25">
      <c r="B55" s="477"/>
      <c r="C55" s="196" t="s">
        <v>60</v>
      </c>
      <c r="D55" s="197">
        <f t="shared" si="10"/>
        <v>69.674999999999997</v>
      </c>
      <c r="E55" s="164">
        <f t="shared" ref="E55:X55" si="15">IF(E$8&gt;=5,E$7*E$6/E$8,0)+IF(E$13&gt;=5,E$12*E$11/E$13,0)+IF(E$18&gt;=5,E$17*E$16/E$18,0)+IF(E$23&gt;=5,E$22*E$21/E$23,0)+IF(E$28&gt;=5,E$27*E$26/E$28,0)+E$31</f>
        <v>10.766666666666666</v>
      </c>
      <c r="F55" s="164">
        <f t="shared" si="15"/>
        <v>13.933333333333334</v>
      </c>
      <c r="G55" s="164">
        <f t="shared" si="15"/>
        <v>0</v>
      </c>
      <c r="H55" s="164">
        <f t="shared" si="15"/>
        <v>7.9133333333333331</v>
      </c>
      <c r="I55" s="164">
        <f t="shared" si="15"/>
        <v>15.528333333333334</v>
      </c>
      <c r="J55" s="164">
        <f t="shared" si="15"/>
        <v>0</v>
      </c>
      <c r="K55" s="164">
        <f t="shared" si="15"/>
        <v>10.766666666666666</v>
      </c>
      <c r="L55" s="164">
        <f t="shared" si="15"/>
        <v>10.766666666666666</v>
      </c>
      <c r="M55" s="164">
        <f t="shared" si="15"/>
        <v>0</v>
      </c>
      <c r="N55" s="164">
        <f t="shared" si="15"/>
        <v>0</v>
      </c>
      <c r="O55" s="164">
        <f t="shared" si="15"/>
        <v>0</v>
      </c>
      <c r="P55" s="164">
        <f t="shared" si="15"/>
        <v>0</v>
      </c>
      <c r="Q55" s="164">
        <f t="shared" si="15"/>
        <v>0</v>
      </c>
      <c r="R55" s="164">
        <f t="shared" si="15"/>
        <v>0</v>
      </c>
      <c r="S55" s="164">
        <f t="shared" si="15"/>
        <v>0</v>
      </c>
      <c r="T55" s="164">
        <f t="shared" si="15"/>
        <v>0</v>
      </c>
      <c r="U55" s="164">
        <f t="shared" si="15"/>
        <v>0</v>
      </c>
      <c r="V55" s="164">
        <f t="shared" si="15"/>
        <v>0</v>
      </c>
      <c r="W55" s="164">
        <f t="shared" si="15"/>
        <v>0</v>
      </c>
      <c r="X55" s="165">
        <f t="shared" si="15"/>
        <v>0</v>
      </c>
    </row>
    <row r="56" spans="2:25" hidden="1" x14ac:dyDescent="0.25">
      <c r="B56" s="477"/>
      <c r="C56" s="196" t="s">
        <v>61</v>
      </c>
      <c r="D56" s="197">
        <f t="shared" si="10"/>
        <v>69.674999999999997</v>
      </c>
      <c r="E56" s="164">
        <f t="shared" ref="E56:X56" si="16">IF(E$8&gt;=6,E$7*E$6/E$8,0)+IF(E$13&gt;=6,E$12*E$11/E$13,0)+IF(E$18&gt;=6,E$17*E$16/E$18,0)+IF(E$23&gt;=6,E$22*E$21/E$23,0)+IF(E$28&gt;=6,E$27*E$26/E$28,0)+E$31</f>
        <v>10.766666666666666</v>
      </c>
      <c r="F56" s="164">
        <f t="shared" si="16"/>
        <v>13.933333333333334</v>
      </c>
      <c r="G56" s="164">
        <f t="shared" si="16"/>
        <v>0</v>
      </c>
      <c r="H56" s="164">
        <f t="shared" si="16"/>
        <v>7.9133333333333331</v>
      </c>
      <c r="I56" s="164">
        <f t="shared" si="16"/>
        <v>15.528333333333334</v>
      </c>
      <c r="J56" s="164">
        <f t="shared" si="16"/>
        <v>0</v>
      </c>
      <c r="K56" s="164">
        <f t="shared" si="16"/>
        <v>10.766666666666666</v>
      </c>
      <c r="L56" s="164">
        <f t="shared" si="16"/>
        <v>10.766666666666666</v>
      </c>
      <c r="M56" s="164">
        <f t="shared" si="16"/>
        <v>0</v>
      </c>
      <c r="N56" s="164">
        <f t="shared" si="16"/>
        <v>0</v>
      </c>
      <c r="O56" s="164">
        <f t="shared" si="16"/>
        <v>0</v>
      </c>
      <c r="P56" s="164">
        <f t="shared" si="16"/>
        <v>0</v>
      </c>
      <c r="Q56" s="164">
        <f t="shared" si="16"/>
        <v>0</v>
      </c>
      <c r="R56" s="164">
        <f t="shared" si="16"/>
        <v>0</v>
      </c>
      <c r="S56" s="164">
        <f t="shared" si="16"/>
        <v>0</v>
      </c>
      <c r="T56" s="164">
        <f t="shared" si="16"/>
        <v>0</v>
      </c>
      <c r="U56" s="164">
        <f t="shared" si="16"/>
        <v>0</v>
      </c>
      <c r="V56" s="164">
        <f t="shared" si="16"/>
        <v>0</v>
      </c>
      <c r="W56" s="164">
        <f t="shared" si="16"/>
        <v>0</v>
      </c>
      <c r="X56" s="165">
        <f t="shared" si="16"/>
        <v>0</v>
      </c>
    </row>
    <row r="57" spans="2:25" hidden="1" x14ac:dyDescent="0.25">
      <c r="B57" s="477"/>
      <c r="C57" s="196" t="s">
        <v>62</v>
      </c>
      <c r="D57" s="197">
        <f t="shared" si="10"/>
        <v>69.674999999999997</v>
      </c>
      <c r="E57" s="164">
        <f t="shared" ref="E57:X57" si="17">IF(E$8&gt;=7,E$7*E$6/E$8,0)+IF(E$13&gt;=7,E$12*E$11/E$13,0)+IF(E$18&gt;=7,E$17*E$16/E$18,0)+IF(E$23&gt;=7,E$22*E$21/E$23,0)+IF(E$28&gt;=7,E$27*E$26/E$28,0)+E$31</f>
        <v>10.766666666666666</v>
      </c>
      <c r="F57" s="164">
        <f t="shared" si="17"/>
        <v>13.933333333333334</v>
      </c>
      <c r="G57" s="164">
        <f t="shared" si="17"/>
        <v>0</v>
      </c>
      <c r="H57" s="164">
        <f t="shared" si="17"/>
        <v>7.9133333333333331</v>
      </c>
      <c r="I57" s="164">
        <f t="shared" si="17"/>
        <v>15.528333333333334</v>
      </c>
      <c r="J57" s="164">
        <f t="shared" si="17"/>
        <v>0</v>
      </c>
      <c r="K57" s="164">
        <f t="shared" si="17"/>
        <v>10.766666666666666</v>
      </c>
      <c r="L57" s="164">
        <f t="shared" si="17"/>
        <v>10.766666666666666</v>
      </c>
      <c r="M57" s="164">
        <f t="shared" si="17"/>
        <v>0</v>
      </c>
      <c r="N57" s="164">
        <f t="shared" si="17"/>
        <v>0</v>
      </c>
      <c r="O57" s="164">
        <f t="shared" si="17"/>
        <v>0</v>
      </c>
      <c r="P57" s="164">
        <f t="shared" si="17"/>
        <v>0</v>
      </c>
      <c r="Q57" s="164">
        <f t="shared" si="17"/>
        <v>0</v>
      </c>
      <c r="R57" s="164">
        <f t="shared" si="17"/>
        <v>0</v>
      </c>
      <c r="S57" s="164">
        <f t="shared" si="17"/>
        <v>0</v>
      </c>
      <c r="T57" s="164">
        <f t="shared" si="17"/>
        <v>0</v>
      </c>
      <c r="U57" s="164">
        <f t="shared" si="17"/>
        <v>0</v>
      </c>
      <c r="V57" s="164">
        <f t="shared" si="17"/>
        <v>0</v>
      </c>
      <c r="W57" s="164">
        <f t="shared" si="17"/>
        <v>0</v>
      </c>
      <c r="X57" s="165">
        <f t="shared" si="17"/>
        <v>0</v>
      </c>
    </row>
    <row r="58" spans="2:25" hidden="1" x14ac:dyDescent="0.25">
      <c r="B58" s="477"/>
      <c r="C58" s="196" t="s">
        <v>63</v>
      </c>
      <c r="D58" s="197">
        <f t="shared" si="10"/>
        <v>69.674999999999997</v>
      </c>
      <c r="E58" s="164">
        <f t="shared" ref="E58:X58" si="18">IF(E$8&gt;=8,E$7*E$6/E$8,0)+IF(E$13&gt;=8,E$12*E$11/E$13,0)+IF(E$18&gt;=8,E$17*E$16/E$18,0)+IF(E$23&gt;=8,E$22*E$21/E$23,0)+IF(E$28&gt;=8,E$27*E$26/E$28,0)+E$31</f>
        <v>10.766666666666666</v>
      </c>
      <c r="F58" s="164">
        <f t="shared" si="18"/>
        <v>13.933333333333334</v>
      </c>
      <c r="G58" s="164">
        <f t="shared" si="18"/>
        <v>0</v>
      </c>
      <c r="H58" s="164">
        <f t="shared" si="18"/>
        <v>7.9133333333333331</v>
      </c>
      <c r="I58" s="164">
        <f t="shared" si="18"/>
        <v>15.528333333333334</v>
      </c>
      <c r="J58" s="164">
        <f t="shared" si="18"/>
        <v>0</v>
      </c>
      <c r="K58" s="164">
        <f t="shared" si="18"/>
        <v>10.766666666666666</v>
      </c>
      <c r="L58" s="164">
        <f t="shared" si="18"/>
        <v>10.766666666666666</v>
      </c>
      <c r="M58" s="164">
        <f t="shared" si="18"/>
        <v>0</v>
      </c>
      <c r="N58" s="164">
        <f t="shared" si="18"/>
        <v>0</v>
      </c>
      <c r="O58" s="164">
        <f t="shared" si="18"/>
        <v>0</v>
      </c>
      <c r="P58" s="164">
        <f t="shared" si="18"/>
        <v>0</v>
      </c>
      <c r="Q58" s="164">
        <f t="shared" si="18"/>
        <v>0</v>
      </c>
      <c r="R58" s="164">
        <f t="shared" si="18"/>
        <v>0</v>
      </c>
      <c r="S58" s="164">
        <f t="shared" si="18"/>
        <v>0</v>
      </c>
      <c r="T58" s="164">
        <f t="shared" si="18"/>
        <v>0</v>
      </c>
      <c r="U58" s="164">
        <f t="shared" si="18"/>
        <v>0</v>
      </c>
      <c r="V58" s="164">
        <f t="shared" si="18"/>
        <v>0</v>
      </c>
      <c r="W58" s="164">
        <f t="shared" si="18"/>
        <v>0</v>
      </c>
      <c r="X58" s="165">
        <f t="shared" si="18"/>
        <v>0</v>
      </c>
    </row>
    <row r="59" spans="2:25" hidden="1" x14ac:dyDescent="0.25">
      <c r="B59" s="477"/>
      <c r="C59" s="196" t="s">
        <v>64</v>
      </c>
      <c r="D59" s="197">
        <f t="shared" si="10"/>
        <v>69.674999999999997</v>
      </c>
      <c r="E59" s="164">
        <f t="shared" ref="E59:X59" si="19">IF(E$8&gt;=9,E$7*E$6/E$8,0)+IF(E$13&gt;=9,E$12*E$11/E$13,0)+IF(E$18&gt;=9,E$17*E$16/E$18,0)+IF(E$23&gt;=9,E$22*E$21/E$23,0)+IF(E$28&gt;=9,E$27*E$26/E$28,0)+E$31</f>
        <v>10.766666666666666</v>
      </c>
      <c r="F59" s="164">
        <f t="shared" si="19"/>
        <v>13.933333333333334</v>
      </c>
      <c r="G59" s="164">
        <f t="shared" si="19"/>
        <v>0</v>
      </c>
      <c r="H59" s="164">
        <f t="shared" si="19"/>
        <v>7.9133333333333331</v>
      </c>
      <c r="I59" s="164">
        <f t="shared" si="19"/>
        <v>15.528333333333334</v>
      </c>
      <c r="J59" s="164">
        <f t="shared" si="19"/>
        <v>0</v>
      </c>
      <c r="K59" s="164">
        <f t="shared" si="19"/>
        <v>10.766666666666666</v>
      </c>
      <c r="L59" s="164">
        <f t="shared" si="19"/>
        <v>10.766666666666666</v>
      </c>
      <c r="M59" s="164">
        <f t="shared" si="19"/>
        <v>0</v>
      </c>
      <c r="N59" s="164">
        <f t="shared" si="19"/>
        <v>0</v>
      </c>
      <c r="O59" s="164">
        <f t="shared" si="19"/>
        <v>0</v>
      </c>
      <c r="P59" s="164">
        <f t="shared" si="19"/>
        <v>0</v>
      </c>
      <c r="Q59" s="164">
        <f t="shared" si="19"/>
        <v>0</v>
      </c>
      <c r="R59" s="164">
        <f t="shared" si="19"/>
        <v>0</v>
      </c>
      <c r="S59" s="164">
        <f t="shared" si="19"/>
        <v>0</v>
      </c>
      <c r="T59" s="164">
        <f t="shared" si="19"/>
        <v>0</v>
      </c>
      <c r="U59" s="164">
        <f t="shared" si="19"/>
        <v>0</v>
      </c>
      <c r="V59" s="164">
        <f t="shared" si="19"/>
        <v>0</v>
      </c>
      <c r="W59" s="164">
        <f t="shared" si="19"/>
        <v>0</v>
      </c>
      <c r="X59" s="165">
        <f t="shared" si="19"/>
        <v>0</v>
      </c>
    </row>
    <row r="60" spans="2:25" hidden="1" x14ac:dyDescent="0.25">
      <c r="B60" s="477"/>
      <c r="C60" s="196" t="s">
        <v>65</v>
      </c>
      <c r="D60" s="197">
        <f t="shared" si="10"/>
        <v>69.674999999999997</v>
      </c>
      <c r="E60" s="164">
        <f t="shared" ref="E60:X60" si="20">IF(E$8&gt;=10,E$7*E$6/E$8,0)+IF(E$13&gt;=10,E$12*E$11/E$13,0)+IF(E$18&gt;=10,E$17*E$16/E$18,0)+IF(E$23&gt;=10,E$22*E$21/E$23,0)+IF(E$28&gt;=10,E$27*E$26/E$28,0)+E$31</f>
        <v>10.766666666666666</v>
      </c>
      <c r="F60" s="164">
        <f t="shared" si="20"/>
        <v>13.933333333333334</v>
      </c>
      <c r="G60" s="164">
        <f t="shared" si="20"/>
        <v>0</v>
      </c>
      <c r="H60" s="164">
        <f t="shared" si="20"/>
        <v>7.9133333333333331</v>
      </c>
      <c r="I60" s="164">
        <f t="shared" si="20"/>
        <v>15.528333333333334</v>
      </c>
      <c r="J60" s="164">
        <f t="shared" si="20"/>
        <v>0</v>
      </c>
      <c r="K60" s="164">
        <f t="shared" si="20"/>
        <v>10.766666666666666</v>
      </c>
      <c r="L60" s="164">
        <f t="shared" si="20"/>
        <v>10.766666666666666</v>
      </c>
      <c r="M60" s="164">
        <f t="shared" si="20"/>
        <v>0</v>
      </c>
      <c r="N60" s="164">
        <f t="shared" si="20"/>
        <v>0</v>
      </c>
      <c r="O60" s="164">
        <f t="shared" si="20"/>
        <v>0</v>
      </c>
      <c r="P60" s="164">
        <f t="shared" si="20"/>
        <v>0</v>
      </c>
      <c r="Q60" s="164">
        <f t="shared" si="20"/>
        <v>0</v>
      </c>
      <c r="R60" s="164">
        <f t="shared" si="20"/>
        <v>0</v>
      </c>
      <c r="S60" s="164">
        <f t="shared" si="20"/>
        <v>0</v>
      </c>
      <c r="T60" s="164">
        <f t="shared" si="20"/>
        <v>0</v>
      </c>
      <c r="U60" s="164">
        <f t="shared" si="20"/>
        <v>0</v>
      </c>
      <c r="V60" s="164">
        <f t="shared" si="20"/>
        <v>0</v>
      </c>
      <c r="W60" s="164">
        <f t="shared" si="20"/>
        <v>0</v>
      </c>
      <c r="X60" s="165">
        <f t="shared" si="20"/>
        <v>0</v>
      </c>
    </row>
    <row r="61" spans="2:25" hidden="1" x14ac:dyDescent="0.25">
      <c r="B61" s="477"/>
      <c r="C61" s="196" t="s">
        <v>66</v>
      </c>
      <c r="D61" s="197">
        <f t="shared" si="10"/>
        <v>69.674999999999997</v>
      </c>
      <c r="E61" s="164">
        <f t="shared" ref="E61:X61" si="21">IF(E$8&gt;=11,E$7*E$6/E$8,0)+IF(E$13&gt;=11,E$12*E$11/E$13,0)+IF(E$18&gt;=11,E$17*E$16/E$18,0)+IF(E$23&gt;=11,E$22*E$21/E$23,0)+IF(E$28&gt;=11,E$27*E$26/E$28,0)+E$31</f>
        <v>10.766666666666666</v>
      </c>
      <c r="F61" s="164">
        <f t="shared" si="21"/>
        <v>13.933333333333334</v>
      </c>
      <c r="G61" s="164">
        <f t="shared" si="21"/>
        <v>0</v>
      </c>
      <c r="H61" s="164">
        <f t="shared" si="21"/>
        <v>7.9133333333333331</v>
      </c>
      <c r="I61" s="164">
        <f t="shared" si="21"/>
        <v>15.528333333333334</v>
      </c>
      <c r="J61" s="164">
        <f t="shared" si="21"/>
        <v>0</v>
      </c>
      <c r="K61" s="164">
        <f t="shared" si="21"/>
        <v>10.766666666666666</v>
      </c>
      <c r="L61" s="164">
        <f t="shared" si="21"/>
        <v>10.766666666666666</v>
      </c>
      <c r="M61" s="164">
        <f t="shared" si="21"/>
        <v>0</v>
      </c>
      <c r="N61" s="164">
        <f t="shared" si="21"/>
        <v>0</v>
      </c>
      <c r="O61" s="164">
        <f t="shared" si="21"/>
        <v>0</v>
      </c>
      <c r="P61" s="164">
        <f t="shared" si="21"/>
        <v>0</v>
      </c>
      <c r="Q61" s="164">
        <f t="shared" si="21"/>
        <v>0</v>
      </c>
      <c r="R61" s="164">
        <f t="shared" si="21"/>
        <v>0</v>
      </c>
      <c r="S61" s="164">
        <f t="shared" si="21"/>
        <v>0</v>
      </c>
      <c r="T61" s="164">
        <f t="shared" si="21"/>
        <v>0</v>
      </c>
      <c r="U61" s="164">
        <f t="shared" si="21"/>
        <v>0</v>
      </c>
      <c r="V61" s="164">
        <f t="shared" si="21"/>
        <v>0</v>
      </c>
      <c r="W61" s="164">
        <f t="shared" si="21"/>
        <v>0</v>
      </c>
      <c r="X61" s="165">
        <f t="shared" si="21"/>
        <v>0</v>
      </c>
    </row>
    <row r="62" spans="2:25" hidden="1" x14ac:dyDescent="0.25">
      <c r="B62" s="477"/>
      <c r="C62" s="196" t="s">
        <v>67</v>
      </c>
      <c r="D62" s="197">
        <f t="shared" si="10"/>
        <v>69.674999999999997</v>
      </c>
      <c r="E62" s="164">
        <f t="shared" ref="E62:X62" si="22">IF(E$8&gt;=12,E$7*E$6/E$8,0)+IF(E$13&gt;=12,E$12*E$11/E$13,0)+IF(E$18&gt;=12,E$17*E$16/E$18,0)+IF(E$23&gt;=12,E$22*E$21/E$23,0)+IF(E$28&gt;=12,E$27*E$26/E$28,0)+E$31</f>
        <v>10.766666666666666</v>
      </c>
      <c r="F62" s="164">
        <f t="shared" si="22"/>
        <v>13.933333333333334</v>
      </c>
      <c r="G62" s="164">
        <f t="shared" si="22"/>
        <v>0</v>
      </c>
      <c r="H62" s="164">
        <f t="shared" si="22"/>
        <v>7.9133333333333331</v>
      </c>
      <c r="I62" s="164">
        <f t="shared" si="22"/>
        <v>15.528333333333334</v>
      </c>
      <c r="J62" s="164">
        <f t="shared" si="22"/>
        <v>0</v>
      </c>
      <c r="K62" s="164">
        <f t="shared" si="22"/>
        <v>10.766666666666666</v>
      </c>
      <c r="L62" s="164">
        <f t="shared" si="22"/>
        <v>10.766666666666666</v>
      </c>
      <c r="M62" s="164">
        <f t="shared" si="22"/>
        <v>0</v>
      </c>
      <c r="N62" s="164">
        <f t="shared" si="22"/>
        <v>0</v>
      </c>
      <c r="O62" s="164">
        <f t="shared" si="22"/>
        <v>0</v>
      </c>
      <c r="P62" s="164">
        <f t="shared" si="22"/>
        <v>0</v>
      </c>
      <c r="Q62" s="164">
        <f t="shared" si="22"/>
        <v>0</v>
      </c>
      <c r="R62" s="164">
        <f t="shared" si="22"/>
        <v>0</v>
      </c>
      <c r="S62" s="164">
        <f t="shared" si="22"/>
        <v>0</v>
      </c>
      <c r="T62" s="164">
        <f t="shared" si="22"/>
        <v>0</v>
      </c>
      <c r="U62" s="164">
        <f t="shared" si="22"/>
        <v>0</v>
      </c>
      <c r="V62" s="164">
        <f t="shared" si="22"/>
        <v>0</v>
      </c>
      <c r="W62" s="164">
        <f t="shared" si="22"/>
        <v>0</v>
      </c>
      <c r="X62" s="165">
        <f t="shared" si="22"/>
        <v>0</v>
      </c>
    </row>
    <row r="63" spans="2:25" hidden="1" x14ac:dyDescent="0.25">
      <c r="B63" s="477"/>
      <c r="C63" s="196" t="s">
        <v>68</v>
      </c>
      <c r="D63" s="197">
        <f t="shared" si="10"/>
        <v>69.674999999999997</v>
      </c>
      <c r="E63" s="164">
        <f t="shared" ref="E63:X63" si="23">IF(E$8&gt;=13,E$7*E$6/E$8,0)+IF(E$13&gt;=13,E$12*E$11/E$13,0)+IF(E$18&gt;=13,E$17*E$16/E$18,0)+IF(E$23&gt;=13,E$22*E$21/E$23,0)+IF(E$28&gt;=13,E$27*E$26/E$28,0)+E$31</f>
        <v>10.766666666666666</v>
      </c>
      <c r="F63" s="164">
        <f t="shared" si="23"/>
        <v>13.933333333333334</v>
      </c>
      <c r="G63" s="164">
        <f t="shared" si="23"/>
        <v>0</v>
      </c>
      <c r="H63" s="164">
        <f t="shared" si="23"/>
        <v>7.9133333333333331</v>
      </c>
      <c r="I63" s="164">
        <f t="shared" si="23"/>
        <v>15.528333333333334</v>
      </c>
      <c r="J63" s="164">
        <f t="shared" si="23"/>
        <v>0</v>
      </c>
      <c r="K63" s="164">
        <f t="shared" si="23"/>
        <v>10.766666666666666</v>
      </c>
      <c r="L63" s="164">
        <f t="shared" si="23"/>
        <v>10.766666666666666</v>
      </c>
      <c r="M63" s="164">
        <f t="shared" si="23"/>
        <v>0</v>
      </c>
      <c r="N63" s="164">
        <f t="shared" si="23"/>
        <v>0</v>
      </c>
      <c r="O63" s="164">
        <f t="shared" si="23"/>
        <v>0</v>
      </c>
      <c r="P63" s="164">
        <f t="shared" si="23"/>
        <v>0</v>
      </c>
      <c r="Q63" s="164">
        <f t="shared" si="23"/>
        <v>0</v>
      </c>
      <c r="R63" s="164">
        <f t="shared" si="23"/>
        <v>0</v>
      </c>
      <c r="S63" s="164">
        <f t="shared" si="23"/>
        <v>0</v>
      </c>
      <c r="T63" s="164">
        <f t="shared" si="23"/>
        <v>0</v>
      </c>
      <c r="U63" s="164">
        <f t="shared" si="23"/>
        <v>0</v>
      </c>
      <c r="V63" s="164">
        <f t="shared" si="23"/>
        <v>0</v>
      </c>
      <c r="W63" s="164">
        <f t="shared" si="23"/>
        <v>0</v>
      </c>
      <c r="X63" s="165">
        <f t="shared" si="23"/>
        <v>0</v>
      </c>
    </row>
    <row r="64" spans="2:25" hidden="1" x14ac:dyDescent="0.25">
      <c r="B64" s="477"/>
      <c r="C64" s="196" t="s">
        <v>69</v>
      </c>
      <c r="D64" s="197">
        <f t="shared" si="10"/>
        <v>69.674999999999997</v>
      </c>
      <c r="E64" s="164">
        <f t="shared" ref="E64:X64" si="24">IF(E$8&gt;=14,E$7*E$6/E$8,0)+IF(E$13&gt;=14,E$12*E$11/E$13,0)+IF(E$18&gt;=14,E$17*E$16/E$18,0)+IF(E$23&gt;=14,E$22*E$21/E$23,0)+IF(E$28&gt;=14,E$27*E$26/E$28,0)+E$31</f>
        <v>10.766666666666666</v>
      </c>
      <c r="F64" s="164">
        <f t="shared" si="24"/>
        <v>13.933333333333334</v>
      </c>
      <c r="G64" s="164">
        <f t="shared" si="24"/>
        <v>0</v>
      </c>
      <c r="H64" s="164">
        <f t="shared" si="24"/>
        <v>7.9133333333333331</v>
      </c>
      <c r="I64" s="164">
        <f t="shared" si="24"/>
        <v>15.528333333333334</v>
      </c>
      <c r="J64" s="164">
        <f t="shared" si="24"/>
        <v>0</v>
      </c>
      <c r="K64" s="164">
        <f t="shared" si="24"/>
        <v>10.766666666666666</v>
      </c>
      <c r="L64" s="164">
        <f t="shared" si="24"/>
        <v>10.766666666666666</v>
      </c>
      <c r="M64" s="164">
        <f t="shared" si="24"/>
        <v>0</v>
      </c>
      <c r="N64" s="164">
        <f t="shared" si="24"/>
        <v>0</v>
      </c>
      <c r="O64" s="164">
        <f t="shared" si="24"/>
        <v>0</v>
      </c>
      <c r="P64" s="164">
        <f t="shared" si="24"/>
        <v>0</v>
      </c>
      <c r="Q64" s="164">
        <f t="shared" si="24"/>
        <v>0</v>
      </c>
      <c r="R64" s="164">
        <f t="shared" si="24"/>
        <v>0</v>
      </c>
      <c r="S64" s="164">
        <f t="shared" si="24"/>
        <v>0</v>
      </c>
      <c r="T64" s="164">
        <f t="shared" si="24"/>
        <v>0</v>
      </c>
      <c r="U64" s="164">
        <f t="shared" si="24"/>
        <v>0</v>
      </c>
      <c r="V64" s="164">
        <f t="shared" si="24"/>
        <v>0</v>
      </c>
      <c r="W64" s="164">
        <f t="shared" si="24"/>
        <v>0</v>
      </c>
      <c r="X64" s="165">
        <f t="shared" si="24"/>
        <v>0</v>
      </c>
    </row>
    <row r="65" spans="2:24" hidden="1" x14ac:dyDescent="0.25">
      <c r="B65" s="477"/>
      <c r="C65" s="196" t="s">
        <v>70</v>
      </c>
      <c r="D65" s="197">
        <f t="shared" si="10"/>
        <v>69.674999999999997</v>
      </c>
      <c r="E65" s="164">
        <f t="shared" ref="E65:X65" si="25">IF(E$8&gt;=15,E$7*E$6/E$8,0)+IF(E$13&gt;=15,E$12*E$11/E$13,0)+IF(E$18&gt;=15,E$17*E$16/E$18,0)+IF(E$23&gt;=15,E$22*E$21/E$23,0)+IF(E$28&gt;=15,E$27*E$26/E$28,0)+E$31</f>
        <v>10.766666666666666</v>
      </c>
      <c r="F65" s="164">
        <f t="shared" si="25"/>
        <v>13.933333333333334</v>
      </c>
      <c r="G65" s="164">
        <f t="shared" si="25"/>
        <v>0</v>
      </c>
      <c r="H65" s="164">
        <f t="shared" si="25"/>
        <v>7.9133333333333331</v>
      </c>
      <c r="I65" s="164">
        <f t="shared" si="25"/>
        <v>15.528333333333334</v>
      </c>
      <c r="J65" s="164">
        <f t="shared" si="25"/>
        <v>0</v>
      </c>
      <c r="K65" s="164">
        <f t="shared" si="25"/>
        <v>10.766666666666666</v>
      </c>
      <c r="L65" s="164">
        <f t="shared" si="25"/>
        <v>10.766666666666666</v>
      </c>
      <c r="M65" s="164">
        <f t="shared" si="25"/>
        <v>0</v>
      </c>
      <c r="N65" s="164">
        <f t="shared" si="25"/>
        <v>0</v>
      </c>
      <c r="O65" s="164">
        <f t="shared" si="25"/>
        <v>0</v>
      </c>
      <c r="P65" s="164">
        <f t="shared" si="25"/>
        <v>0</v>
      </c>
      <c r="Q65" s="164">
        <f t="shared" si="25"/>
        <v>0</v>
      </c>
      <c r="R65" s="164">
        <f t="shared" si="25"/>
        <v>0</v>
      </c>
      <c r="S65" s="164">
        <f t="shared" si="25"/>
        <v>0</v>
      </c>
      <c r="T65" s="164">
        <f t="shared" si="25"/>
        <v>0</v>
      </c>
      <c r="U65" s="164">
        <f t="shared" si="25"/>
        <v>0</v>
      </c>
      <c r="V65" s="164">
        <f t="shared" si="25"/>
        <v>0</v>
      </c>
      <c r="W65" s="164">
        <f t="shared" si="25"/>
        <v>0</v>
      </c>
      <c r="X65" s="165">
        <f t="shared" si="25"/>
        <v>0</v>
      </c>
    </row>
    <row r="66" spans="2:24" hidden="1" x14ac:dyDescent="0.25">
      <c r="B66" s="477"/>
      <c r="C66" s="196" t="s">
        <v>71</v>
      </c>
      <c r="D66" s="197">
        <f t="shared" si="10"/>
        <v>59.008333333333333</v>
      </c>
      <c r="E66" s="164">
        <f t="shared" ref="E66:X66" si="26">IF(E$8&gt;=16,E$7*E$6/E$8,0)+IF(E$13&gt;=16,E$12*E$11/E$13,0)+IF(E$18&gt;=16,E$17*E$16/E$18,0)+IF(E$23&gt;=16,E$22*E$21/E$23,0)+IF(E$28&gt;=16,E$27*E$26/E$28,0)+E$31</f>
        <v>10.766666666666666</v>
      </c>
      <c r="F66" s="164">
        <f t="shared" si="26"/>
        <v>13.933333333333334</v>
      </c>
      <c r="G66" s="164">
        <f t="shared" si="26"/>
        <v>0</v>
      </c>
      <c r="H66" s="164">
        <f t="shared" si="26"/>
        <v>4.58</v>
      </c>
      <c r="I66" s="164">
        <f t="shared" si="26"/>
        <v>8.1950000000000003</v>
      </c>
      <c r="J66" s="164">
        <f t="shared" si="26"/>
        <v>0</v>
      </c>
      <c r="K66" s="164">
        <f t="shared" si="26"/>
        <v>10.766666666666666</v>
      </c>
      <c r="L66" s="164">
        <f t="shared" si="26"/>
        <v>10.766666666666666</v>
      </c>
      <c r="M66" s="164">
        <f t="shared" si="26"/>
        <v>0</v>
      </c>
      <c r="N66" s="164">
        <f t="shared" si="26"/>
        <v>0</v>
      </c>
      <c r="O66" s="164">
        <f t="shared" si="26"/>
        <v>0</v>
      </c>
      <c r="P66" s="164">
        <f t="shared" si="26"/>
        <v>0</v>
      </c>
      <c r="Q66" s="164">
        <f t="shared" si="26"/>
        <v>0</v>
      </c>
      <c r="R66" s="164">
        <f t="shared" si="26"/>
        <v>0</v>
      </c>
      <c r="S66" s="164">
        <f t="shared" si="26"/>
        <v>0</v>
      </c>
      <c r="T66" s="164">
        <f t="shared" si="26"/>
        <v>0</v>
      </c>
      <c r="U66" s="164">
        <f t="shared" si="26"/>
        <v>0</v>
      </c>
      <c r="V66" s="164">
        <f t="shared" si="26"/>
        <v>0</v>
      </c>
      <c r="W66" s="164">
        <f t="shared" si="26"/>
        <v>0</v>
      </c>
      <c r="X66" s="165">
        <f t="shared" si="26"/>
        <v>0</v>
      </c>
    </row>
    <row r="67" spans="2:24" hidden="1" x14ac:dyDescent="0.25">
      <c r="B67" s="477"/>
      <c r="C67" s="196" t="s">
        <v>72</v>
      </c>
      <c r="D67" s="197">
        <f t="shared" si="10"/>
        <v>59.008333333333333</v>
      </c>
      <c r="E67" s="164">
        <f t="shared" ref="E67:X67" si="27">IF(E$8&gt;=17,E$7*E$6/E$8,0)+IF(E$13&gt;=17,E$12*E$11/E$13,0)+IF(E$18&gt;=17,E$17*E$16/E$18,0)+IF(E$23&gt;=17,E$22*E$21/E$23,0)+IF(E$28&gt;=17,E$27*E$26/E$28,0)+E$31</f>
        <v>10.766666666666666</v>
      </c>
      <c r="F67" s="164">
        <f t="shared" si="27"/>
        <v>13.933333333333334</v>
      </c>
      <c r="G67" s="164">
        <f t="shared" si="27"/>
        <v>0</v>
      </c>
      <c r="H67" s="164">
        <f t="shared" si="27"/>
        <v>4.58</v>
      </c>
      <c r="I67" s="164">
        <f t="shared" si="27"/>
        <v>8.1950000000000003</v>
      </c>
      <c r="J67" s="164">
        <f t="shared" si="27"/>
        <v>0</v>
      </c>
      <c r="K67" s="164">
        <f t="shared" si="27"/>
        <v>10.766666666666666</v>
      </c>
      <c r="L67" s="164">
        <f t="shared" si="27"/>
        <v>10.766666666666666</v>
      </c>
      <c r="M67" s="164">
        <f t="shared" si="27"/>
        <v>0</v>
      </c>
      <c r="N67" s="164">
        <f t="shared" si="27"/>
        <v>0</v>
      </c>
      <c r="O67" s="164">
        <f t="shared" si="27"/>
        <v>0</v>
      </c>
      <c r="P67" s="164">
        <f t="shared" si="27"/>
        <v>0</v>
      </c>
      <c r="Q67" s="164">
        <f t="shared" si="27"/>
        <v>0</v>
      </c>
      <c r="R67" s="164">
        <f t="shared" si="27"/>
        <v>0</v>
      </c>
      <c r="S67" s="164">
        <f t="shared" si="27"/>
        <v>0</v>
      </c>
      <c r="T67" s="164">
        <f t="shared" si="27"/>
        <v>0</v>
      </c>
      <c r="U67" s="164">
        <f t="shared" si="27"/>
        <v>0</v>
      </c>
      <c r="V67" s="164">
        <f t="shared" si="27"/>
        <v>0</v>
      </c>
      <c r="W67" s="164">
        <f t="shared" si="27"/>
        <v>0</v>
      </c>
      <c r="X67" s="165">
        <f t="shared" si="27"/>
        <v>0</v>
      </c>
    </row>
    <row r="68" spans="2:24" hidden="1" x14ac:dyDescent="0.25">
      <c r="B68" s="477"/>
      <c r="C68" s="196" t="s">
        <v>73</v>
      </c>
      <c r="D68" s="197">
        <f t="shared" si="10"/>
        <v>59.008333333333333</v>
      </c>
      <c r="E68" s="164">
        <f t="shared" ref="E68:X68" si="28">IF(E$8&gt;=18,E$7*E$6/E$8,0)+IF(E$13&gt;=18,E$12*E$11/E$13,0)+IF(E$18&gt;=18,E$17*E$16/E$18,0)+IF(E$23&gt;=18,E$22*E$21/E$23,0)+IF(E$28&gt;=18,E$27*E$26/E$28,0)+E$31</f>
        <v>10.766666666666666</v>
      </c>
      <c r="F68" s="164">
        <f t="shared" si="28"/>
        <v>13.933333333333334</v>
      </c>
      <c r="G68" s="164">
        <f t="shared" si="28"/>
        <v>0</v>
      </c>
      <c r="H68" s="164">
        <f t="shared" si="28"/>
        <v>4.58</v>
      </c>
      <c r="I68" s="164">
        <f t="shared" si="28"/>
        <v>8.1950000000000003</v>
      </c>
      <c r="J68" s="164">
        <f t="shared" si="28"/>
        <v>0</v>
      </c>
      <c r="K68" s="164">
        <f t="shared" si="28"/>
        <v>10.766666666666666</v>
      </c>
      <c r="L68" s="164">
        <f t="shared" si="28"/>
        <v>10.766666666666666</v>
      </c>
      <c r="M68" s="164">
        <f t="shared" si="28"/>
        <v>0</v>
      </c>
      <c r="N68" s="164">
        <f t="shared" si="28"/>
        <v>0</v>
      </c>
      <c r="O68" s="164">
        <f t="shared" si="28"/>
        <v>0</v>
      </c>
      <c r="P68" s="164">
        <f t="shared" si="28"/>
        <v>0</v>
      </c>
      <c r="Q68" s="164">
        <f t="shared" si="28"/>
        <v>0</v>
      </c>
      <c r="R68" s="164">
        <f t="shared" si="28"/>
        <v>0</v>
      </c>
      <c r="S68" s="164">
        <f t="shared" si="28"/>
        <v>0</v>
      </c>
      <c r="T68" s="164">
        <f t="shared" si="28"/>
        <v>0</v>
      </c>
      <c r="U68" s="164">
        <f t="shared" si="28"/>
        <v>0</v>
      </c>
      <c r="V68" s="164">
        <f t="shared" si="28"/>
        <v>0</v>
      </c>
      <c r="W68" s="164">
        <f t="shared" si="28"/>
        <v>0</v>
      </c>
      <c r="X68" s="165">
        <f t="shared" si="28"/>
        <v>0</v>
      </c>
    </row>
    <row r="69" spans="2:24" hidden="1" x14ac:dyDescent="0.25">
      <c r="B69" s="477"/>
      <c r="C69" s="196" t="s">
        <v>74</v>
      </c>
      <c r="D69" s="197">
        <f t="shared" si="10"/>
        <v>59.008333333333333</v>
      </c>
      <c r="E69" s="164">
        <f t="shared" ref="E69:X69" si="29">IF(E$8&gt;=19,E$7*E$6/E$8,0)+IF(E$13&gt;=19,E$12*E$11/E$13,0)+IF(E$18&gt;=19,E$17*E$16/E$18,0)+IF(E$23&gt;=19,E$22*E$21/E$23,0)+IF(E$28&gt;=19,E$27*E$26/E$28,0)+E$31</f>
        <v>10.766666666666666</v>
      </c>
      <c r="F69" s="164">
        <f t="shared" si="29"/>
        <v>13.933333333333334</v>
      </c>
      <c r="G69" s="164">
        <f t="shared" si="29"/>
        <v>0</v>
      </c>
      <c r="H69" s="164">
        <f t="shared" si="29"/>
        <v>4.58</v>
      </c>
      <c r="I69" s="164">
        <f t="shared" si="29"/>
        <v>8.1950000000000003</v>
      </c>
      <c r="J69" s="164">
        <f t="shared" si="29"/>
        <v>0</v>
      </c>
      <c r="K69" s="164">
        <f t="shared" si="29"/>
        <v>10.766666666666666</v>
      </c>
      <c r="L69" s="164">
        <f t="shared" si="29"/>
        <v>10.766666666666666</v>
      </c>
      <c r="M69" s="164">
        <f t="shared" si="29"/>
        <v>0</v>
      </c>
      <c r="N69" s="164">
        <f t="shared" si="29"/>
        <v>0</v>
      </c>
      <c r="O69" s="164">
        <f t="shared" si="29"/>
        <v>0</v>
      </c>
      <c r="P69" s="164">
        <f t="shared" si="29"/>
        <v>0</v>
      </c>
      <c r="Q69" s="164">
        <f t="shared" si="29"/>
        <v>0</v>
      </c>
      <c r="R69" s="164">
        <f t="shared" si="29"/>
        <v>0</v>
      </c>
      <c r="S69" s="164">
        <f t="shared" si="29"/>
        <v>0</v>
      </c>
      <c r="T69" s="164">
        <f t="shared" si="29"/>
        <v>0</v>
      </c>
      <c r="U69" s="164">
        <f t="shared" si="29"/>
        <v>0</v>
      </c>
      <c r="V69" s="164">
        <f t="shared" si="29"/>
        <v>0</v>
      </c>
      <c r="W69" s="164">
        <f t="shared" si="29"/>
        <v>0</v>
      </c>
      <c r="X69" s="165">
        <f t="shared" si="29"/>
        <v>0</v>
      </c>
    </row>
    <row r="70" spans="2:24" hidden="1" x14ac:dyDescent="0.25">
      <c r="B70" s="477"/>
      <c r="C70" s="196" t="s">
        <v>75</v>
      </c>
      <c r="D70" s="197">
        <f t="shared" si="10"/>
        <v>59.008333333333333</v>
      </c>
      <c r="E70" s="164">
        <f t="shared" ref="E70:X70" si="30">IF(E$8&gt;=20,E$7*E$6/E$8,0)+IF(E$13&gt;=20,E$12*E$11/E$13,0)+IF(E$18&gt;=20,E$17*E$16/E$18,0)+IF(E$23&gt;=20,E$22*E$21/E$23,0)+IF(E$28&gt;=20,E$27*E$26/E$28,0)+E$31</f>
        <v>10.766666666666666</v>
      </c>
      <c r="F70" s="164">
        <f t="shared" si="30"/>
        <v>13.933333333333334</v>
      </c>
      <c r="G70" s="164">
        <f t="shared" si="30"/>
        <v>0</v>
      </c>
      <c r="H70" s="164">
        <f t="shared" si="30"/>
        <v>4.58</v>
      </c>
      <c r="I70" s="164">
        <f t="shared" si="30"/>
        <v>8.1950000000000003</v>
      </c>
      <c r="J70" s="164">
        <f t="shared" si="30"/>
        <v>0</v>
      </c>
      <c r="K70" s="164">
        <f t="shared" si="30"/>
        <v>10.766666666666666</v>
      </c>
      <c r="L70" s="164">
        <f t="shared" si="30"/>
        <v>10.766666666666666</v>
      </c>
      <c r="M70" s="164">
        <f t="shared" si="30"/>
        <v>0</v>
      </c>
      <c r="N70" s="164">
        <f t="shared" si="30"/>
        <v>0</v>
      </c>
      <c r="O70" s="164">
        <f t="shared" si="30"/>
        <v>0</v>
      </c>
      <c r="P70" s="164">
        <f t="shared" si="30"/>
        <v>0</v>
      </c>
      <c r="Q70" s="164">
        <f t="shared" si="30"/>
        <v>0</v>
      </c>
      <c r="R70" s="164">
        <f t="shared" si="30"/>
        <v>0</v>
      </c>
      <c r="S70" s="164">
        <f t="shared" si="30"/>
        <v>0</v>
      </c>
      <c r="T70" s="164">
        <f t="shared" si="30"/>
        <v>0</v>
      </c>
      <c r="U70" s="164">
        <f t="shared" si="30"/>
        <v>0</v>
      </c>
      <c r="V70" s="164">
        <f t="shared" si="30"/>
        <v>0</v>
      </c>
      <c r="W70" s="164">
        <f t="shared" si="30"/>
        <v>0</v>
      </c>
      <c r="X70" s="165">
        <f t="shared" si="30"/>
        <v>0</v>
      </c>
    </row>
    <row r="71" spans="2:24" hidden="1" x14ac:dyDescent="0.25">
      <c r="B71" s="477"/>
      <c r="C71" s="196" t="s">
        <v>76</v>
      </c>
      <c r="D71" s="197">
        <f t="shared" si="10"/>
        <v>59.008333333333333</v>
      </c>
      <c r="E71" s="164">
        <f t="shared" ref="E71:X71" si="31">IF(E$8&gt;=21,E$7*E$6/E$8,0)+IF(E$13&gt;=21,E$12*E$11/E$13,0)+IF(E$18&gt;=21,E$17*E$16/E$18,0)+IF(E$23&gt;=21,E$22*E$21/E$23,0)+IF(E$28&gt;=21,E$27*E$26/E$28,0)+E$31</f>
        <v>10.766666666666666</v>
      </c>
      <c r="F71" s="164">
        <f t="shared" si="31"/>
        <v>13.933333333333334</v>
      </c>
      <c r="G71" s="164">
        <f t="shared" si="31"/>
        <v>0</v>
      </c>
      <c r="H71" s="164">
        <f t="shared" si="31"/>
        <v>4.58</v>
      </c>
      <c r="I71" s="164">
        <f t="shared" si="31"/>
        <v>8.1950000000000003</v>
      </c>
      <c r="J71" s="164">
        <f t="shared" si="31"/>
        <v>0</v>
      </c>
      <c r="K71" s="164">
        <f t="shared" si="31"/>
        <v>10.766666666666666</v>
      </c>
      <c r="L71" s="164">
        <f t="shared" si="31"/>
        <v>10.766666666666666</v>
      </c>
      <c r="M71" s="164">
        <f t="shared" si="31"/>
        <v>0</v>
      </c>
      <c r="N71" s="164">
        <f t="shared" si="31"/>
        <v>0</v>
      </c>
      <c r="O71" s="164">
        <f t="shared" si="31"/>
        <v>0</v>
      </c>
      <c r="P71" s="164">
        <f t="shared" si="31"/>
        <v>0</v>
      </c>
      <c r="Q71" s="164">
        <f t="shared" si="31"/>
        <v>0</v>
      </c>
      <c r="R71" s="164">
        <f t="shared" si="31"/>
        <v>0</v>
      </c>
      <c r="S71" s="164">
        <f t="shared" si="31"/>
        <v>0</v>
      </c>
      <c r="T71" s="164">
        <f t="shared" si="31"/>
        <v>0</v>
      </c>
      <c r="U71" s="164">
        <f t="shared" si="31"/>
        <v>0</v>
      </c>
      <c r="V71" s="164">
        <f t="shared" si="31"/>
        <v>0</v>
      </c>
      <c r="W71" s="164">
        <f t="shared" si="31"/>
        <v>0</v>
      </c>
      <c r="X71" s="165">
        <f t="shared" si="31"/>
        <v>0</v>
      </c>
    </row>
    <row r="72" spans="2:24" hidden="1" x14ac:dyDescent="0.25">
      <c r="B72" s="477"/>
      <c r="C72" s="196" t="s">
        <v>77</v>
      </c>
      <c r="D72" s="197">
        <f t="shared" si="10"/>
        <v>59.008333333333333</v>
      </c>
      <c r="E72" s="164">
        <f t="shared" ref="E72:X72" si="32">IF(E$8&gt;=22,E$7*E$6/E$8,0)+IF(E$13&gt;=22,E$12*E$11/E$13,0)+IF(E$18&gt;=22,E$17*E$16/E$18,0)+IF(E$23&gt;=22,E$22*E$21/E$23,0)+IF(E$28&gt;=22,E$27*E$26/E$28,0)+E$31</f>
        <v>10.766666666666666</v>
      </c>
      <c r="F72" s="164">
        <f t="shared" si="32"/>
        <v>13.933333333333334</v>
      </c>
      <c r="G72" s="164">
        <f t="shared" si="32"/>
        <v>0</v>
      </c>
      <c r="H72" s="164">
        <f t="shared" si="32"/>
        <v>4.58</v>
      </c>
      <c r="I72" s="164">
        <f t="shared" si="32"/>
        <v>8.1950000000000003</v>
      </c>
      <c r="J72" s="164">
        <f t="shared" si="32"/>
        <v>0</v>
      </c>
      <c r="K72" s="164">
        <f t="shared" si="32"/>
        <v>10.766666666666666</v>
      </c>
      <c r="L72" s="164">
        <f t="shared" si="32"/>
        <v>10.766666666666666</v>
      </c>
      <c r="M72" s="164">
        <f t="shared" si="32"/>
        <v>0</v>
      </c>
      <c r="N72" s="164">
        <f t="shared" si="32"/>
        <v>0</v>
      </c>
      <c r="O72" s="164">
        <f t="shared" si="32"/>
        <v>0</v>
      </c>
      <c r="P72" s="164">
        <f t="shared" si="32"/>
        <v>0</v>
      </c>
      <c r="Q72" s="164">
        <f t="shared" si="32"/>
        <v>0</v>
      </c>
      <c r="R72" s="164">
        <f t="shared" si="32"/>
        <v>0</v>
      </c>
      <c r="S72" s="164">
        <f t="shared" si="32"/>
        <v>0</v>
      </c>
      <c r="T72" s="164">
        <f t="shared" si="32"/>
        <v>0</v>
      </c>
      <c r="U72" s="164">
        <f t="shared" si="32"/>
        <v>0</v>
      </c>
      <c r="V72" s="164">
        <f t="shared" si="32"/>
        <v>0</v>
      </c>
      <c r="W72" s="164">
        <f t="shared" si="32"/>
        <v>0</v>
      </c>
      <c r="X72" s="165">
        <f t="shared" si="32"/>
        <v>0</v>
      </c>
    </row>
    <row r="73" spans="2:24" hidden="1" x14ac:dyDescent="0.25">
      <c r="B73" s="477"/>
      <c r="C73" s="196" t="s">
        <v>78</v>
      </c>
      <c r="D73" s="197">
        <f t="shared" si="10"/>
        <v>59.008333333333333</v>
      </c>
      <c r="E73" s="164">
        <f t="shared" ref="E73:X73" si="33">IF(E$8&gt;=23,E$7*E$6/E$8,0)+IF(E$13&gt;=23,E$12*E$11/E$13,0)+IF(E$18&gt;=23,E$17*E$16/E$18,0)+IF(E$23&gt;=23,E$22*E$21/E$23,0)+IF(E$28&gt;=23,E$27*E$26/E$28,0)+E$31</f>
        <v>10.766666666666666</v>
      </c>
      <c r="F73" s="164">
        <f t="shared" si="33"/>
        <v>13.933333333333334</v>
      </c>
      <c r="G73" s="164">
        <f t="shared" si="33"/>
        <v>0</v>
      </c>
      <c r="H73" s="164">
        <f t="shared" si="33"/>
        <v>4.58</v>
      </c>
      <c r="I73" s="164">
        <f t="shared" si="33"/>
        <v>8.1950000000000003</v>
      </c>
      <c r="J73" s="164">
        <f t="shared" si="33"/>
        <v>0</v>
      </c>
      <c r="K73" s="164">
        <f t="shared" si="33"/>
        <v>10.766666666666666</v>
      </c>
      <c r="L73" s="164">
        <f t="shared" si="33"/>
        <v>10.766666666666666</v>
      </c>
      <c r="M73" s="164">
        <f t="shared" si="33"/>
        <v>0</v>
      </c>
      <c r="N73" s="164">
        <f t="shared" si="33"/>
        <v>0</v>
      </c>
      <c r="O73" s="164">
        <f t="shared" si="33"/>
        <v>0</v>
      </c>
      <c r="P73" s="164">
        <f t="shared" si="33"/>
        <v>0</v>
      </c>
      <c r="Q73" s="164">
        <f t="shared" si="33"/>
        <v>0</v>
      </c>
      <c r="R73" s="164">
        <f t="shared" si="33"/>
        <v>0</v>
      </c>
      <c r="S73" s="164">
        <f t="shared" si="33"/>
        <v>0</v>
      </c>
      <c r="T73" s="164">
        <f t="shared" si="33"/>
        <v>0</v>
      </c>
      <c r="U73" s="164">
        <f t="shared" si="33"/>
        <v>0</v>
      </c>
      <c r="V73" s="164">
        <f t="shared" si="33"/>
        <v>0</v>
      </c>
      <c r="W73" s="164">
        <f t="shared" si="33"/>
        <v>0</v>
      </c>
      <c r="X73" s="165">
        <f t="shared" si="33"/>
        <v>0</v>
      </c>
    </row>
    <row r="74" spans="2:24" hidden="1" x14ac:dyDescent="0.25">
      <c r="B74" s="477"/>
      <c r="C74" s="196" t="s">
        <v>79</v>
      </c>
      <c r="D74" s="197">
        <f t="shared" si="10"/>
        <v>59.008333333333333</v>
      </c>
      <c r="E74" s="164">
        <f t="shared" ref="E74:X74" si="34">IF(E$8&gt;=24,E$7*E$6/E$8,0)+IF(E$13&gt;=24,E$12*E$11/E$13,0)+IF(E$18&gt;=24,E$17*E$16/E$18,0)+IF(E$23&gt;=24,E$22*E$21/E$23,0)+IF(E$28&gt;=24,E$27*E$26/E$28,0)+E$31</f>
        <v>10.766666666666666</v>
      </c>
      <c r="F74" s="164">
        <f t="shared" si="34"/>
        <v>13.933333333333334</v>
      </c>
      <c r="G74" s="164">
        <f t="shared" si="34"/>
        <v>0</v>
      </c>
      <c r="H74" s="164">
        <f t="shared" si="34"/>
        <v>4.58</v>
      </c>
      <c r="I74" s="164">
        <f t="shared" si="34"/>
        <v>8.1950000000000003</v>
      </c>
      <c r="J74" s="164">
        <f t="shared" si="34"/>
        <v>0</v>
      </c>
      <c r="K74" s="164">
        <f t="shared" si="34"/>
        <v>10.766666666666666</v>
      </c>
      <c r="L74" s="164">
        <f t="shared" si="34"/>
        <v>10.766666666666666</v>
      </c>
      <c r="M74" s="164">
        <f t="shared" si="34"/>
        <v>0</v>
      </c>
      <c r="N74" s="164">
        <f t="shared" si="34"/>
        <v>0</v>
      </c>
      <c r="O74" s="164">
        <f t="shared" si="34"/>
        <v>0</v>
      </c>
      <c r="P74" s="164">
        <f t="shared" si="34"/>
        <v>0</v>
      </c>
      <c r="Q74" s="164">
        <f t="shared" si="34"/>
        <v>0</v>
      </c>
      <c r="R74" s="164">
        <f t="shared" si="34"/>
        <v>0</v>
      </c>
      <c r="S74" s="164">
        <f t="shared" si="34"/>
        <v>0</v>
      </c>
      <c r="T74" s="164">
        <f t="shared" si="34"/>
        <v>0</v>
      </c>
      <c r="U74" s="164">
        <f t="shared" si="34"/>
        <v>0</v>
      </c>
      <c r="V74" s="164">
        <f t="shared" si="34"/>
        <v>0</v>
      </c>
      <c r="W74" s="164">
        <f t="shared" si="34"/>
        <v>0</v>
      </c>
      <c r="X74" s="165">
        <f t="shared" si="34"/>
        <v>0</v>
      </c>
    </row>
    <row r="75" spans="2:24" hidden="1" x14ac:dyDescent="0.25">
      <c r="B75" s="477"/>
      <c r="C75" s="196" t="s">
        <v>80</v>
      </c>
      <c r="D75" s="197">
        <f t="shared" si="10"/>
        <v>59.008333333333333</v>
      </c>
      <c r="E75" s="164">
        <f t="shared" ref="E75:X75" si="35">IF(E$8&gt;=25,E$7*E$6/E$8,0)+IF(E$13&gt;=25,E$12*E$11/E$13,0)+IF(E$18&gt;=25,E$17*E$16/E$18,0)+IF(E$23&gt;=25,E$22*E$21/E$23,0)+IF(E$28&gt;=25,E$27*E$26/E$28,0)+E$31</f>
        <v>10.766666666666666</v>
      </c>
      <c r="F75" s="164">
        <f t="shared" si="35"/>
        <v>13.933333333333334</v>
      </c>
      <c r="G75" s="164">
        <f t="shared" si="35"/>
        <v>0</v>
      </c>
      <c r="H75" s="164">
        <f t="shared" si="35"/>
        <v>4.58</v>
      </c>
      <c r="I75" s="164">
        <f t="shared" si="35"/>
        <v>8.1950000000000003</v>
      </c>
      <c r="J75" s="164">
        <f t="shared" si="35"/>
        <v>0</v>
      </c>
      <c r="K75" s="164">
        <f t="shared" si="35"/>
        <v>10.766666666666666</v>
      </c>
      <c r="L75" s="164">
        <f t="shared" si="35"/>
        <v>10.766666666666666</v>
      </c>
      <c r="M75" s="164">
        <f t="shared" si="35"/>
        <v>0</v>
      </c>
      <c r="N75" s="164">
        <f t="shared" si="35"/>
        <v>0</v>
      </c>
      <c r="O75" s="164">
        <f t="shared" si="35"/>
        <v>0</v>
      </c>
      <c r="P75" s="164">
        <f t="shared" si="35"/>
        <v>0</v>
      </c>
      <c r="Q75" s="164">
        <f t="shared" si="35"/>
        <v>0</v>
      </c>
      <c r="R75" s="164">
        <f t="shared" si="35"/>
        <v>0</v>
      </c>
      <c r="S75" s="164">
        <f t="shared" si="35"/>
        <v>0</v>
      </c>
      <c r="T75" s="164">
        <f t="shared" si="35"/>
        <v>0</v>
      </c>
      <c r="U75" s="164">
        <f t="shared" si="35"/>
        <v>0</v>
      </c>
      <c r="V75" s="164">
        <f t="shared" si="35"/>
        <v>0</v>
      </c>
      <c r="W75" s="164">
        <f t="shared" si="35"/>
        <v>0</v>
      </c>
      <c r="X75" s="165">
        <f t="shared" si="35"/>
        <v>0</v>
      </c>
    </row>
    <row r="76" spans="2:24" hidden="1" x14ac:dyDescent="0.25">
      <c r="B76" s="477"/>
      <c r="C76" s="196" t="s">
        <v>81</v>
      </c>
      <c r="D76" s="197">
        <f t="shared" si="10"/>
        <v>59.008333333333333</v>
      </c>
      <c r="E76" s="164">
        <f t="shared" ref="E76:X76" si="36">IF(E$8&gt;=26,E$7*E$6/E$8,0)+IF(E$13&gt;=26,E$12*E$11/E$13,0)+IF(E$18&gt;=26,E$17*E$16/E$18,0)+IF(E$23&gt;=26,E$22*E$21/E$23,0)+IF(E$28&gt;=26,E$27*E$26/E$28,0)+E$31</f>
        <v>10.766666666666666</v>
      </c>
      <c r="F76" s="164">
        <f t="shared" si="36"/>
        <v>13.933333333333334</v>
      </c>
      <c r="G76" s="164">
        <f t="shared" si="36"/>
        <v>0</v>
      </c>
      <c r="H76" s="164">
        <f t="shared" si="36"/>
        <v>4.58</v>
      </c>
      <c r="I76" s="164">
        <f t="shared" si="36"/>
        <v>8.1950000000000003</v>
      </c>
      <c r="J76" s="164">
        <f t="shared" si="36"/>
        <v>0</v>
      </c>
      <c r="K76" s="164">
        <f t="shared" si="36"/>
        <v>10.766666666666666</v>
      </c>
      <c r="L76" s="164">
        <f t="shared" si="36"/>
        <v>10.766666666666666</v>
      </c>
      <c r="M76" s="164">
        <f t="shared" si="36"/>
        <v>0</v>
      </c>
      <c r="N76" s="164">
        <f t="shared" si="36"/>
        <v>0</v>
      </c>
      <c r="O76" s="164">
        <f t="shared" si="36"/>
        <v>0</v>
      </c>
      <c r="P76" s="164">
        <f t="shared" si="36"/>
        <v>0</v>
      </c>
      <c r="Q76" s="164">
        <f t="shared" si="36"/>
        <v>0</v>
      </c>
      <c r="R76" s="164">
        <f t="shared" si="36"/>
        <v>0</v>
      </c>
      <c r="S76" s="164">
        <f t="shared" si="36"/>
        <v>0</v>
      </c>
      <c r="T76" s="164">
        <f t="shared" si="36"/>
        <v>0</v>
      </c>
      <c r="U76" s="164">
        <f t="shared" si="36"/>
        <v>0</v>
      </c>
      <c r="V76" s="164">
        <f t="shared" si="36"/>
        <v>0</v>
      </c>
      <c r="W76" s="164">
        <f t="shared" si="36"/>
        <v>0</v>
      </c>
      <c r="X76" s="165">
        <f t="shared" si="36"/>
        <v>0</v>
      </c>
    </row>
    <row r="77" spans="2:24" hidden="1" x14ac:dyDescent="0.25">
      <c r="B77" s="477"/>
      <c r="C77" s="196" t="s">
        <v>82</v>
      </c>
      <c r="D77" s="197">
        <f t="shared" si="10"/>
        <v>59.008333333333333</v>
      </c>
      <c r="E77" s="164">
        <f t="shared" ref="E77:X77" si="37">IF(E$8&gt;=27,E$7*E$6/E$8,0)+IF(E$13&gt;=27,E$12*E$11/E$13,0)+IF(E$18&gt;=27,E$17*E$16/E$18,0)+IF(E$23&gt;=27,E$22*E$21/E$23,0)+IF(E$28&gt;=27,E$27*E$26/E$28,0)+E$31</f>
        <v>10.766666666666666</v>
      </c>
      <c r="F77" s="164">
        <f t="shared" si="37"/>
        <v>13.933333333333334</v>
      </c>
      <c r="G77" s="164">
        <f t="shared" si="37"/>
        <v>0</v>
      </c>
      <c r="H77" s="164">
        <f t="shared" si="37"/>
        <v>4.58</v>
      </c>
      <c r="I77" s="164">
        <f t="shared" si="37"/>
        <v>8.1950000000000003</v>
      </c>
      <c r="J77" s="164">
        <f t="shared" si="37"/>
        <v>0</v>
      </c>
      <c r="K77" s="164">
        <f t="shared" si="37"/>
        <v>10.766666666666666</v>
      </c>
      <c r="L77" s="164">
        <f t="shared" si="37"/>
        <v>10.766666666666666</v>
      </c>
      <c r="M77" s="164">
        <f t="shared" si="37"/>
        <v>0</v>
      </c>
      <c r="N77" s="164">
        <f t="shared" si="37"/>
        <v>0</v>
      </c>
      <c r="O77" s="164">
        <f t="shared" si="37"/>
        <v>0</v>
      </c>
      <c r="P77" s="164">
        <f t="shared" si="37"/>
        <v>0</v>
      </c>
      <c r="Q77" s="164">
        <f t="shared" si="37"/>
        <v>0</v>
      </c>
      <c r="R77" s="164">
        <f t="shared" si="37"/>
        <v>0</v>
      </c>
      <c r="S77" s="164">
        <f t="shared" si="37"/>
        <v>0</v>
      </c>
      <c r="T77" s="164">
        <f t="shared" si="37"/>
        <v>0</v>
      </c>
      <c r="U77" s="164">
        <f t="shared" si="37"/>
        <v>0</v>
      </c>
      <c r="V77" s="164">
        <f t="shared" si="37"/>
        <v>0</v>
      </c>
      <c r="W77" s="164">
        <f t="shared" si="37"/>
        <v>0</v>
      </c>
      <c r="X77" s="165">
        <f t="shared" si="37"/>
        <v>0</v>
      </c>
    </row>
    <row r="78" spans="2:24" hidden="1" x14ac:dyDescent="0.25">
      <c r="B78" s="477"/>
      <c r="C78" s="196" t="s">
        <v>83</v>
      </c>
      <c r="D78" s="197">
        <f t="shared" si="10"/>
        <v>59.008333333333333</v>
      </c>
      <c r="E78" s="164">
        <f t="shared" ref="E78:X78" si="38">IF(E$8&gt;=28,E$7*E$6/E$8,0)+IF(E$13&gt;=28,E$12*E$11/E$13,0)+IF(E$18&gt;=28,E$17*E$16/E$18,0)+IF(E$23&gt;=28,E$22*E$21/E$23,0)+IF(E$28&gt;=28,E$27*E$26/E$28,0)+E$31</f>
        <v>10.766666666666666</v>
      </c>
      <c r="F78" s="164">
        <f t="shared" si="38"/>
        <v>13.933333333333334</v>
      </c>
      <c r="G78" s="164">
        <f t="shared" si="38"/>
        <v>0</v>
      </c>
      <c r="H78" s="164">
        <f t="shared" si="38"/>
        <v>4.58</v>
      </c>
      <c r="I78" s="164">
        <f t="shared" si="38"/>
        <v>8.1950000000000003</v>
      </c>
      <c r="J78" s="164">
        <f t="shared" si="38"/>
        <v>0</v>
      </c>
      <c r="K78" s="164">
        <f t="shared" si="38"/>
        <v>10.766666666666666</v>
      </c>
      <c r="L78" s="164">
        <f t="shared" si="38"/>
        <v>10.766666666666666</v>
      </c>
      <c r="M78" s="164">
        <f t="shared" si="38"/>
        <v>0</v>
      </c>
      <c r="N78" s="164">
        <f t="shared" si="38"/>
        <v>0</v>
      </c>
      <c r="O78" s="164">
        <f t="shared" si="38"/>
        <v>0</v>
      </c>
      <c r="P78" s="164">
        <f t="shared" si="38"/>
        <v>0</v>
      </c>
      <c r="Q78" s="164">
        <f t="shared" si="38"/>
        <v>0</v>
      </c>
      <c r="R78" s="164">
        <f t="shared" si="38"/>
        <v>0</v>
      </c>
      <c r="S78" s="164">
        <f t="shared" si="38"/>
        <v>0</v>
      </c>
      <c r="T78" s="164">
        <f t="shared" si="38"/>
        <v>0</v>
      </c>
      <c r="U78" s="164">
        <f t="shared" si="38"/>
        <v>0</v>
      </c>
      <c r="V78" s="164">
        <f t="shared" si="38"/>
        <v>0</v>
      </c>
      <c r="W78" s="164">
        <f t="shared" si="38"/>
        <v>0</v>
      </c>
      <c r="X78" s="165">
        <f t="shared" si="38"/>
        <v>0</v>
      </c>
    </row>
    <row r="79" spans="2:24" hidden="1" x14ac:dyDescent="0.25">
      <c r="B79" s="477"/>
      <c r="C79" s="196" t="s">
        <v>84</v>
      </c>
      <c r="D79" s="197">
        <f t="shared" si="10"/>
        <v>59.008333333333333</v>
      </c>
      <c r="E79" s="164">
        <f t="shared" ref="E79:X79" si="39">IF(E$8&gt;=29,E$7*E$6/E$8,0)+IF(E$13&gt;=29,E$12*E$11/E$13,0)+IF(E$18&gt;=29,E$17*E$16/E$18,0)+IF(E$23&gt;=29,E$22*E$21/E$23,0)+IF(E$28&gt;=29,E$27*E$26/E$28,0)+E$31</f>
        <v>10.766666666666666</v>
      </c>
      <c r="F79" s="164">
        <f t="shared" si="39"/>
        <v>13.933333333333334</v>
      </c>
      <c r="G79" s="164">
        <f t="shared" si="39"/>
        <v>0</v>
      </c>
      <c r="H79" s="164">
        <f t="shared" si="39"/>
        <v>4.58</v>
      </c>
      <c r="I79" s="164">
        <f t="shared" si="39"/>
        <v>8.1950000000000003</v>
      </c>
      <c r="J79" s="164">
        <f t="shared" si="39"/>
        <v>0</v>
      </c>
      <c r="K79" s="164">
        <f t="shared" si="39"/>
        <v>10.766666666666666</v>
      </c>
      <c r="L79" s="164">
        <f t="shared" si="39"/>
        <v>10.766666666666666</v>
      </c>
      <c r="M79" s="164">
        <f t="shared" si="39"/>
        <v>0</v>
      </c>
      <c r="N79" s="164">
        <f t="shared" si="39"/>
        <v>0</v>
      </c>
      <c r="O79" s="164">
        <f t="shared" si="39"/>
        <v>0</v>
      </c>
      <c r="P79" s="164">
        <f t="shared" si="39"/>
        <v>0</v>
      </c>
      <c r="Q79" s="164">
        <f t="shared" si="39"/>
        <v>0</v>
      </c>
      <c r="R79" s="164">
        <f t="shared" si="39"/>
        <v>0</v>
      </c>
      <c r="S79" s="164">
        <f t="shared" si="39"/>
        <v>0</v>
      </c>
      <c r="T79" s="164">
        <f t="shared" si="39"/>
        <v>0</v>
      </c>
      <c r="U79" s="164">
        <f t="shared" si="39"/>
        <v>0</v>
      </c>
      <c r="V79" s="164">
        <f t="shared" si="39"/>
        <v>0</v>
      </c>
      <c r="W79" s="164">
        <f t="shared" si="39"/>
        <v>0</v>
      </c>
      <c r="X79" s="165">
        <f t="shared" si="39"/>
        <v>0</v>
      </c>
    </row>
    <row r="80" spans="2:24" ht="13.8" hidden="1" thickBot="1" x14ac:dyDescent="0.3">
      <c r="B80" s="478"/>
      <c r="C80" s="198" t="s">
        <v>85</v>
      </c>
      <c r="D80" s="199">
        <f t="shared" si="10"/>
        <v>59.008333333333333</v>
      </c>
      <c r="E80" s="200">
        <f t="shared" ref="E80:X80" si="40">IF(E$8&gt;=30,E$7*E$6/E$8,0)+IF(E$13&gt;=30,E$12*E$11/E$13,0)+IF(E$18&gt;=30,E$17*E$16/E$18,0)+IF(E$23&gt;=30,E$22*E$21/E$23,0)+IF(E$28&gt;=30,E$27*E$26/E$28,0)+E$31</f>
        <v>10.766666666666666</v>
      </c>
      <c r="F80" s="200">
        <f t="shared" si="40"/>
        <v>13.933333333333334</v>
      </c>
      <c r="G80" s="200">
        <f t="shared" si="40"/>
        <v>0</v>
      </c>
      <c r="H80" s="200">
        <f t="shared" si="40"/>
        <v>4.58</v>
      </c>
      <c r="I80" s="200">
        <f t="shared" si="40"/>
        <v>8.1950000000000003</v>
      </c>
      <c r="J80" s="200">
        <f t="shared" si="40"/>
        <v>0</v>
      </c>
      <c r="K80" s="200">
        <f t="shared" si="40"/>
        <v>10.766666666666666</v>
      </c>
      <c r="L80" s="200">
        <f t="shared" si="40"/>
        <v>10.766666666666666</v>
      </c>
      <c r="M80" s="200">
        <f t="shared" si="40"/>
        <v>0</v>
      </c>
      <c r="N80" s="200">
        <f t="shared" si="40"/>
        <v>0</v>
      </c>
      <c r="O80" s="200">
        <f t="shared" si="40"/>
        <v>0</v>
      </c>
      <c r="P80" s="200">
        <f t="shared" si="40"/>
        <v>0</v>
      </c>
      <c r="Q80" s="200">
        <f t="shared" si="40"/>
        <v>0</v>
      </c>
      <c r="R80" s="200">
        <f t="shared" si="40"/>
        <v>0</v>
      </c>
      <c r="S80" s="200">
        <f t="shared" si="40"/>
        <v>0</v>
      </c>
      <c r="T80" s="200">
        <f t="shared" si="40"/>
        <v>0</v>
      </c>
      <c r="U80" s="200">
        <f t="shared" si="40"/>
        <v>0</v>
      </c>
      <c r="V80" s="200">
        <f t="shared" si="40"/>
        <v>0</v>
      </c>
      <c r="W80" s="200">
        <f t="shared" si="40"/>
        <v>0</v>
      </c>
      <c r="X80" s="201">
        <f t="shared" si="40"/>
        <v>0</v>
      </c>
    </row>
    <row r="99" spans="4:4" x14ac:dyDescent="0.25">
      <c r="D99" s="202"/>
    </row>
  </sheetData>
  <sheetProtection password="9028" sheet="1" objects="1" scenarios="1"/>
  <mergeCells count="2">
    <mergeCell ref="B51:B80"/>
    <mergeCell ref="B34:B37"/>
  </mergeCells>
  <phoneticPr fontId="1" type="noConversion"/>
  <conditionalFormatting sqref="E50:X80">
    <cfRule type="cellIs" dxfId="2" priority="2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192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1"/>
  <dimension ref="A2:AA48"/>
  <sheetViews>
    <sheetView showGridLines="0" topLeftCell="A4" zoomScaleNormal="100" workbookViewId="0">
      <selection activeCell="G6" sqref="G6"/>
    </sheetView>
  </sheetViews>
  <sheetFormatPr defaultColWidth="9.109375" defaultRowHeight="13.2" x14ac:dyDescent="0.25"/>
  <cols>
    <col min="1" max="1" width="2.88671875" style="5" customWidth="1"/>
    <col min="2" max="2" width="20.5546875" style="5" customWidth="1"/>
    <col min="3" max="3" width="16.5546875" style="5" customWidth="1"/>
    <col min="4" max="4" width="10.5546875" style="109" customWidth="1"/>
    <col min="5" max="5" width="14.88671875" style="5" customWidth="1"/>
    <col min="6" max="7" width="16" style="5" bestFit="1" customWidth="1"/>
    <col min="8" max="8" width="16" style="5" customWidth="1"/>
    <col min="9" max="24" width="16" style="5" bestFit="1" customWidth="1"/>
    <col min="25" max="16384" width="9.109375" style="5"/>
  </cols>
  <sheetData>
    <row r="2" spans="1:27" ht="13.8" thickBot="1" x14ac:dyDescent="0.3">
      <c r="B2" s="22" t="s">
        <v>259</v>
      </c>
    </row>
    <row r="3" spans="1:27" x14ac:dyDescent="0.25">
      <c r="B3" s="110" t="s">
        <v>121</v>
      </c>
      <c r="C3" s="111"/>
      <c r="D3" s="112"/>
      <c r="E3" s="112" t="s">
        <v>11</v>
      </c>
      <c r="F3" s="112" t="s">
        <v>12</v>
      </c>
      <c r="G3" s="112" t="s">
        <v>13</v>
      </c>
      <c r="H3" s="112" t="s">
        <v>14</v>
      </c>
      <c r="I3" s="112" t="s">
        <v>15</v>
      </c>
      <c r="J3" s="112" t="s">
        <v>16</v>
      </c>
      <c r="K3" s="112" t="s">
        <v>17</v>
      </c>
      <c r="L3" s="112" t="s">
        <v>18</v>
      </c>
      <c r="M3" s="112" t="s">
        <v>19</v>
      </c>
      <c r="N3" s="112" t="s">
        <v>20</v>
      </c>
      <c r="O3" s="112" t="s">
        <v>21</v>
      </c>
      <c r="P3" s="112" t="s">
        <v>22</v>
      </c>
      <c r="Q3" s="112" t="s">
        <v>23</v>
      </c>
      <c r="R3" s="112" t="s">
        <v>24</v>
      </c>
      <c r="S3" s="112" t="s">
        <v>25</v>
      </c>
      <c r="T3" s="112" t="s">
        <v>26</v>
      </c>
      <c r="U3" s="112" t="s">
        <v>27</v>
      </c>
      <c r="V3" s="112" t="s">
        <v>28</v>
      </c>
      <c r="W3" s="112" t="s">
        <v>29</v>
      </c>
      <c r="X3" s="114" t="s">
        <v>30</v>
      </c>
    </row>
    <row r="4" spans="1:27" x14ac:dyDescent="0.25">
      <c r="B4" s="115" t="s">
        <v>47</v>
      </c>
      <c r="C4" s="116"/>
      <c r="D4" s="203"/>
      <c r="E4" s="204" t="str">
        <f>IF('Pořízení a provozuschopnost ŽKV'!E4&lt;&gt;"",'Pořízení a provozuschopnost ŽKV'!E4,"---")</f>
        <v>S9, S10</v>
      </c>
      <c r="F4" s="204" t="str">
        <f>IF('Pořízení a provozuschopnost ŽKV'!F4&lt;&gt;"",'Pořízení a provozuschopnost ŽKV'!F4,"---")</f>
        <v>S1</v>
      </c>
      <c r="G4" s="204" t="str">
        <f>IF('Pořízení a provozuschopnost ŽKV'!G4&lt;&gt;"",'Pořízení a provozuschopnost ŽKV'!G4,"---")</f>
        <v>---</v>
      </c>
      <c r="H4" s="204">
        <f>IF('Pořízení a provozuschopnost ŽKV'!H4&lt;&gt;"",'Pořízení a provozuschopnost ŽKV'!H4,"---")</f>
        <v>4</v>
      </c>
      <c r="I4" s="204">
        <f>IF('Pořízení a provozuschopnost ŽKV'!I4&lt;&gt;"",'Pořízení a provozuschopnost ŽKV'!I4,"---")</f>
        <v>5</v>
      </c>
      <c r="J4" s="204" t="str">
        <f>IF('Pořízení a provozuschopnost ŽKV'!J4&lt;&gt;"",'Pořízení a provozuschopnost ŽKV'!J4,"---")</f>
        <v>---</v>
      </c>
      <c r="K4" s="204" t="str">
        <f>IF('Pořízení a provozuschopnost ŽKV'!K4&lt;&gt;"",'Pořízení a provozuschopnost ŽKV'!K4,"---")</f>
        <v>R27</v>
      </c>
      <c r="L4" s="204" t="str">
        <f>IF('Pořízení a provozuschopnost ŽKV'!L4&lt;&gt;"",'Pořízení a provozuschopnost ŽKV'!L4,"---")</f>
        <v>R61</v>
      </c>
      <c r="M4" s="204" t="str">
        <f>IF('Pořízení a provozuschopnost ŽKV'!M4&lt;&gt;"",'Pořízení a provozuschopnost ŽKV'!M4,"---")</f>
        <v>---</v>
      </c>
      <c r="N4" s="204" t="str">
        <f>IF('Pořízení a provozuschopnost ŽKV'!N4&lt;&gt;"",'Pořízení a provozuschopnost ŽKV'!N4,"---")</f>
        <v>---</v>
      </c>
      <c r="O4" s="204" t="str">
        <f>IF('Pořízení a provozuschopnost ŽKV'!O4&lt;&gt;"",'Pořízení a provozuschopnost ŽKV'!O4,"---")</f>
        <v>---</v>
      </c>
      <c r="P4" s="204" t="str">
        <f>IF('Pořízení a provozuschopnost ŽKV'!P4&lt;&gt;"",'Pořízení a provozuschopnost ŽKV'!P4,"---")</f>
        <v>---</v>
      </c>
      <c r="Q4" s="204" t="str">
        <f>IF('Pořízení a provozuschopnost ŽKV'!Q4&lt;&gt;"",'Pořízení a provozuschopnost ŽKV'!Q4,"---")</f>
        <v>---</v>
      </c>
      <c r="R4" s="204" t="str">
        <f>IF('Pořízení a provozuschopnost ŽKV'!R4&lt;&gt;"",'Pořízení a provozuschopnost ŽKV'!R4,"---")</f>
        <v>---</v>
      </c>
      <c r="S4" s="204" t="str">
        <f>IF('Pořízení a provozuschopnost ŽKV'!S4&lt;&gt;"",'Pořízení a provozuschopnost ŽKV'!S4,"---")</f>
        <v>---</v>
      </c>
      <c r="T4" s="204" t="str">
        <f>IF('Pořízení a provozuschopnost ŽKV'!T4&lt;&gt;"",'Pořízení a provozuschopnost ŽKV'!T4,"---")</f>
        <v>---</v>
      </c>
      <c r="U4" s="204" t="str">
        <f>IF('Pořízení a provozuschopnost ŽKV'!U4&lt;&gt;"",'Pořízení a provozuschopnost ŽKV'!U4,"---")</f>
        <v>---</v>
      </c>
      <c r="V4" s="204" t="str">
        <f>IF('Pořízení a provozuschopnost ŽKV'!V4&lt;&gt;"",'Pořízení a provozuschopnost ŽKV'!V4,"---")</f>
        <v>---</v>
      </c>
      <c r="W4" s="204" t="str">
        <f>IF('Pořízení a provozuschopnost ŽKV'!W4&lt;&gt;"",'Pořízení a provozuschopnost ŽKV'!W4,"---")</f>
        <v>---</v>
      </c>
      <c r="X4" s="205" t="str">
        <f>IF('Pořízení a provozuschopnost ŽKV'!X4&lt;&gt;"",'Pořízení a provozuschopnost ŽKV'!X4,"---")</f>
        <v>---</v>
      </c>
    </row>
    <row r="5" spans="1:27" x14ac:dyDescent="0.25">
      <c r="B5" s="128" t="s">
        <v>3</v>
      </c>
      <c r="C5" s="129"/>
      <c r="D5" s="206"/>
      <c r="E5" s="207" t="s">
        <v>122</v>
      </c>
      <c r="F5" s="207" t="s">
        <v>122</v>
      </c>
      <c r="G5" s="207"/>
      <c r="H5" s="207" t="s">
        <v>123</v>
      </c>
      <c r="I5" s="207" t="s">
        <v>123</v>
      </c>
      <c r="J5" s="207"/>
      <c r="K5" s="207" t="s">
        <v>122</v>
      </c>
      <c r="L5" s="207" t="s">
        <v>122</v>
      </c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8"/>
    </row>
    <row r="6" spans="1:27" x14ac:dyDescent="0.25">
      <c r="B6" s="28" t="s">
        <v>4</v>
      </c>
      <c r="C6" s="122"/>
      <c r="D6" s="206"/>
      <c r="E6" s="207" t="s">
        <v>331</v>
      </c>
      <c r="F6" s="207" t="s">
        <v>318</v>
      </c>
      <c r="G6" s="207"/>
      <c r="H6" s="207" t="s">
        <v>124</v>
      </c>
      <c r="I6" s="207" t="s">
        <v>318</v>
      </c>
      <c r="J6" s="207"/>
      <c r="K6" s="207" t="s">
        <v>331</v>
      </c>
      <c r="L6" s="207" t="s">
        <v>331</v>
      </c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8"/>
    </row>
    <row r="7" spans="1:27" x14ac:dyDescent="0.25">
      <c r="B7" s="128" t="s">
        <v>292</v>
      </c>
      <c r="C7" s="122"/>
      <c r="D7" s="206"/>
      <c r="E7" s="207" t="s">
        <v>293</v>
      </c>
      <c r="F7" s="207" t="s">
        <v>293</v>
      </c>
      <c r="G7" s="207"/>
      <c r="H7" s="209" t="s">
        <v>294</v>
      </c>
      <c r="I7" s="207" t="s">
        <v>293</v>
      </c>
      <c r="J7" s="207"/>
      <c r="K7" s="207" t="s">
        <v>293</v>
      </c>
      <c r="L7" s="207" t="s">
        <v>293</v>
      </c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8"/>
    </row>
    <row r="8" spans="1:27" ht="13.8" thickBot="1" x14ac:dyDescent="0.3">
      <c r="B8" s="210" t="s">
        <v>5</v>
      </c>
      <c r="C8" s="211"/>
      <c r="D8" s="212" t="s">
        <v>7</v>
      </c>
      <c r="E8" s="213">
        <v>200</v>
      </c>
      <c r="F8" s="213">
        <v>155.4</v>
      </c>
      <c r="G8" s="213"/>
      <c r="H8" s="213">
        <v>500</v>
      </c>
      <c r="I8" s="213">
        <v>1000</v>
      </c>
      <c r="J8" s="213"/>
      <c r="K8" s="213">
        <v>200</v>
      </c>
      <c r="L8" s="213">
        <v>200</v>
      </c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4"/>
    </row>
    <row r="9" spans="1:27" x14ac:dyDescent="0.25">
      <c r="B9" s="11"/>
      <c r="C9" s="11"/>
      <c r="D9" s="215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"/>
    </row>
    <row r="10" spans="1:27" ht="13.8" thickBot="1" x14ac:dyDescent="0.3">
      <c r="B10" s="22" t="s">
        <v>323</v>
      </c>
      <c r="C10" s="11"/>
      <c r="D10" s="215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"/>
      <c r="Z10" s="21"/>
      <c r="AA10" s="21"/>
    </row>
    <row r="11" spans="1:27" x14ac:dyDescent="0.25">
      <c r="A11" s="21"/>
      <c r="B11" s="139" t="s">
        <v>279</v>
      </c>
      <c r="C11" s="218"/>
      <c r="D11" s="219" t="s">
        <v>325</v>
      </c>
      <c r="E11" s="220">
        <v>7.1540000000000006E-2</v>
      </c>
      <c r="F11" s="220">
        <v>7.1540000000000006E-2</v>
      </c>
      <c r="G11" s="220"/>
      <c r="H11" s="220">
        <v>7.1540000000000006E-2</v>
      </c>
      <c r="I11" s="220">
        <v>7.1540000000000006E-2</v>
      </c>
      <c r="J11" s="220"/>
      <c r="K11" s="220">
        <v>7.1540000000000006E-2</v>
      </c>
      <c r="L11" s="220">
        <v>7.1540000000000006E-2</v>
      </c>
      <c r="M11" s="220"/>
      <c r="N11" s="220"/>
      <c r="O11" s="220"/>
      <c r="P11" s="220"/>
      <c r="Q11" s="220"/>
      <c r="R11" s="220">
        <v>7.1540000000000006E-2</v>
      </c>
      <c r="S11" s="220">
        <v>7.1540000000000006E-2</v>
      </c>
      <c r="T11" s="220">
        <v>7.1540000000000006E-2</v>
      </c>
      <c r="U11" s="220">
        <v>7.1540000000000006E-2</v>
      </c>
      <c r="V11" s="220">
        <v>7.1540000000000006E-2</v>
      </c>
      <c r="W11" s="220">
        <v>7.1540000000000006E-2</v>
      </c>
      <c r="X11" s="221">
        <v>7.1540000000000006E-2</v>
      </c>
      <c r="Y11" s="21"/>
      <c r="Z11" s="21"/>
      <c r="AA11" s="21"/>
    </row>
    <row r="12" spans="1:27" x14ac:dyDescent="0.25">
      <c r="A12" s="21"/>
      <c r="B12" s="128" t="s">
        <v>303</v>
      </c>
      <c r="C12" s="129"/>
      <c r="D12" s="222" t="s">
        <v>8</v>
      </c>
      <c r="E12" s="223">
        <v>60</v>
      </c>
      <c r="F12" s="436">
        <v>60</v>
      </c>
      <c r="G12" s="436"/>
      <c r="H12" s="436">
        <v>60</v>
      </c>
      <c r="I12" s="224">
        <v>60</v>
      </c>
      <c r="J12" s="224"/>
      <c r="K12" s="224">
        <v>116</v>
      </c>
      <c r="L12" s="436">
        <v>60</v>
      </c>
      <c r="M12" s="224"/>
      <c r="N12" s="436"/>
      <c r="O12" s="436"/>
      <c r="P12" s="436"/>
      <c r="Q12" s="224"/>
      <c r="R12" s="224"/>
      <c r="S12" s="224"/>
      <c r="T12" s="224"/>
      <c r="U12" s="224"/>
      <c r="V12" s="224"/>
      <c r="W12" s="224"/>
      <c r="X12" s="225"/>
      <c r="Y12" s="21"/>
      <c r="Z12" s="21"/>
      <c r="AA12" s="21"/>
    </row>
    <row r="13" spans="1:27" x14ac:dyDescent="0.25">
      <c r="A13" s="21"/>
      <c r="B13" s="28" t="s">
        <v>326</v>
      </c>
      <c r="C13" s="129"/>
      <c r="D13" s="222" t="s">
        <v>7</v>
      </c>
      <c r="E13" s="223">
        <f t="shared" ref="E13:X13" si="0">IF(E8&gt;0,E8,"")</f>
        <v>200</v>
      </c>
      <c r="F13" s="226">
        <f t="shared" si="0"/>
        <v>155.4</v>
      </c>
      <c r="G13" s="226"/>
      <c r="H13" s="226">
        <f t="shared" si="0"/>
        <v>500</v>
      </c>
      <c r="I13" s="226">
        <f t="shared" si="0"/>
        <v>1000</v>
      </c>
      <c r="J13" s="226"/>
      <c r="K13" s="226">
        <v>200</v>
      </c>
      <c r="L13" s="226">
        <f t="shared" ref="L13" si="1">IF(L8&gt;0,L8,"")</f>
        <v>200</v>
      </c>
      <c r="M13" s="226"/>
      <c r="N13" s="226"/>
      <c r="O13" s="226"/>
      <c r="P13" s="226"/>
      <c r="Q13" s="226"/>
      <c r="R13" s="226" t="str">
        <f t="shared" si="0"/>
        <v/>
      </c>
      <c r="S13" s="226" t="str">
        <f t="shared" si="0"/>
        <v/>
      </c>
      <c r="T13" s="226" t="str">
        <f t="shared" si="0"/>
        <v/>
      </c>
      <c r="U13" s="226" t="str">
        <f t="shared" si="0"/>
        <v/>
      </c>
      <c r="V13" s="226" t="str">
        <f t="shared" si="0"/>
        <v/>
      </c>
      <c r="W13" s="226" t="str">
        <f t="shared" si="0"/>
        <v/>
      </c>
      <c r="X13" s="227" t="str">
        <f t="shared" si="0"/>
        <v/>
      </c>
      <c r="Y13" s="21"/>
      <c r="Z13" s="21"/>
      <c r="AA13" s="21"/>
    </row>
    <row r="14" spans="1:27" x14ac:dyDescent="0.25">
      <c r="A14" s="21"/>
      <c r="B14" s="128" t="s">
        <v>302</v>
      </c>
      <c r="C14" s="129"/>
      <c r="D14" s="228" t="s">
        <v>301</v>
      </c>
      <c r="E14" s="229" t="s">
        <v>304</v>
      </c>
      <c r="F14" s="230" t="s">
        <v>304</v>
      </c>
      <c r="G14" s="230"/>
      <c r="H14" s="230" t="s">
        <v>305</v>
      </c>
      <c r="I14" s="230" t="s">
        <v>305</v>
      </c>
      <c r="J14" s="230"/>
      <c r="K14" s="230" t="s">
        <v>304</v>
      </c>
      <c r="L14" s="230" t="s">
        <v>304</v>
      </c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1"/>
      <c r="Y14" s="21"/>
      <c r="Z14" s="21"/>
      <c r="AA14" s="21"/>
    </row>
    <row r="15" spans="1:27" x14ac:dyDescent="0.25">
      <c r="A15" s="21"/>
      <c r="B15" s="132" t="s">
        <v>328</v>
      </c>
      <c r="C15" s="133"/>
      <c r="D15" s="232" t="s">
        <v>327</v>
      </c>
      <c r="E15" s="233" t="s">
        <v>336</v>
      </c>
      <c r="F15" s="234" t="s">
        <v>336</v>
      </c>
      <c r="G15" s="234"/>
      <c r="H15" s="234" t="s">
        <v>336</v>
      </c>
      <c r="I15" s="234" t="s">
        <v>336</v>
      </c>
      <c r="J15" s="234"/>
      <c r="K15" s="234" t="s">
        <v>336</v>
      </c>
      <c r="L15" s="234" t="s">
        <v>336</v>
      </c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5"/>
      <c r="Y15" s="21"/>
      <c r="Z15" s="21"/>
      <c r="AA15" s="21"/>
    </row>
    <row r="16" spans="1:27" x14ac:dyDescent="0.25">
      <c r="A16" s="21"/>
      <c r="B16" s="236" t="s">
        <v>6</v>
      </c>
      <c r="C16" s="237"/>
      <c r="D16" s="222" t="s">
        <v>10</v>
      </c>
      <c r="E16" s="238">
        <f t="shared" ref="E16:X16" si="2">IF(E12&lt;=0,"-",IFERROR(E11*E12*IF(E14=$J$37,IF(E13&lt;405,E13,405),E13)*VLOOKUP(E14,$J$37:$L$41,3,FALSE)*VLOOKUP(E15,$N$37:$P$38,3,FALSE),"-"))</f>
        <v>772.63200000000018</v>
      </c>
      <c r="F16" s="239">
        <f t="shared" si="2"/>
        <v>600.3350640000001</v>
      </c>
      <c r="G16" s="239" t="str">
        <f t="shared" si="2"/>
        <v>-</v>
      </c>
      <c r="H16" s="239">
        <f t="shared" si="2"/>
        <v>1641.8430000000003</v>
      </c>
      <c r="I16" s="239">
        <f t="shared" si="2"/>
        <v>3283.6860000000006</v>
      </c>
      <c r="J16" s="239" t="str">
        <f t="shared" si="2"/>
        <v>-</v>
      </c>
      <c r="K16" s="239">
        <f t="shared" si="2"/>
        <v>1493.7552000000001</v>
      </c>
      <c r="L16" s="239">
        <f t="shared" si="2"/>
        <v>772.63200000000018</v>
      </c>
      <c r="M16" s="239" t="str">
        <f t="shared" si="2"/>
        <v>-</v>
      </c>
      <c r="N16" s="239" t="str">
        <f t="shared" si="2"/>
        <v>-</v>
      </c>
      <c r="O16" s="239" t="str">
        <f t="shared" si="2"/>
        <v>-</v>
      </c>
      <c r="P16" s="239" t="str">
        <f t="shared" si="2"/>
        <v>-</v>
      </c>
      <c r="Q16" s="239" t="str">
        <f t="shared" si="2"/>
        <v>-</v>
      </c>
      <c r="R16" s="239" t="str">
        <f t="shared" si="2"/>
        <v>-</v>
      </c>
      <c r="S16" s="239" t="str">
        <f t="shared" si="2"/>
        <v>-</v>
      </c>
      <c r="T16" s="239" t="str">
        <f t="shared" si="2"/>
        <v>-</v>
      </c>
      <c r="U16" s="239" t="str">
        <f t="shared" si="2"/>
        <v>-</v>
      </c>
      <c r="V16" s="239" t="str">
        <f t="shared" si="2"/>
        <v>-</v>
      </c>
      <c r="W16" s="239" t="str">
        <f t="shared" si="2"/>
        <v>-</v>
      </c>
      <c r="X16" s="240" t="str">
        <f t="shared" si="2"/>
        <v>-</v>
      </c>
      <c r="Y16" s="21"/>
      <c r="Z16" s="21"/>
      <c r="AA16" s="21"/>
    </row>
    <row r="17" spans="1:27" ht="13.8" thickBot="1" x14ac:dyDescent="0.3">
      <c r="A17" s="21"/>
      <c r="B17" s="145" t="s">
        <v>129</v>
      </c>
      <c r="C17" s="241"/>
      <c r="D17" s="180" t="s">
        <v>128</v>
      </c>
      <c r="E17" s="242">
        <f>IF(E12&gt;0,IFERROR(E16/E12,"-"),"-")</f>
        <v>12.877200000000004</v>
      </c>
      <c r="F17" s="243">
        <f t="shared" ref="F17:X17" si="3">IF(F12&gt;0,IFERROR(F16/F12,"-"),"-")</f>
        <v>10.005584400000002</v>
      </c>
      <c r="G17" s="243" t="str">
        <f t="shared" si="3"/>
        <v>-</v>
      </c>
      <c r="H17" s="243">
        <f t="shared" si="3"/>
        <v>27.364050000000006</v>
      </c>
      <c r="I17" s="243">
        <f t="shared" si="3"/>
        <v>54.728100000000012</v>
      </c>
      <c r="J17" s="243" t="str">
        <f t="shared" si="3"/>
        <v>-</v>
      </c>
      <c r="K17" s="243">
        <f t="shared" si="3"/>
        <v>12.8772</v>
      </c>
      <c r="L17" s="243">
        <f t="shared" si="3"/>
        <v>12.877200000000004</v>
      </c>
      <c r="M17" s="243" t="str">
        <f t="shared" si="3"/>
        <v>-</v>
      </c>
      <c r="N17" s="243" t="str">
        <f t="shared" si="3"/>
        <v>-</v>
      </c>
      <c r="O17" s="243" t="str">
        <f t="shared" si="3"/>
        <v>-</v>
      </c>
      <c r="P17" s="243" t="str">
        <f t="shared" si="3"/>
        <v>-</v>
      </c>
      <c r="Q17" s="243" t="str">
        <f t="shared" si="3"/>
        <v>-</v>
      </c>
      <c r="R17" s="243" t="str">
        <f t="shared" si="3"/>
        <v>-</v>
      </c>
      <c r="S17" s="243" t="str">
        <f t="shared" si="3"/>
        <v>-</v>
      </c>
      <c r="T17" s="243" t="str">
        <f t="shared" si="3"/>
        <v>-</v>
      </c>
      <c r="U17" s="243" t="str">
        <f t="shared" si="3"/>
        <v>-</v>
      </c>
      <c r="V17" s="243" t="str">
        <f t="shared" si="3"/>
        <v>-</v>
      </c>
      <c r="W17" s="243" t="str">
        <f t="shared" si="3"/>
        <v>-</v>
      </c>
      <c r="X17" s="244" t="str">
        <f t="shared" si="3"/>
        <v>-</v>
      </c>
      <c r="Y17" s="21"/>
      <c r="Z17" s="21"/>
      <c r="AA17" s="21"/>
    </row>
    <row r="18" spans="1:27" x14ac:dyDescent="0.25">
      <c r="B18" s="152"/>
      <c r="C18" s="11"/>
      <c r="D18" s="153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"/>
      <c r="Z18" s="21"/>
      <c r="AA18" s="21"/>
    </row>
    <row r="19" spans="1:27" ht="13.8" thickBot="1" x14ac:dyDescent="0.3">
      <c r="B19" s="22" t="s">
        <v>260</v>
      </c>
      <c r="C19" s="11"/>
      <c r="D19" s="215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</row>
    <row r="20" spans="1:27" x14ac:dyDescent="0.25">
      <c r="B20" s="245" t="s">
        <v>117</v>
      </c>
      <c r="C20" s="246"/>
      <c r="D20" s="247"/>
      <c r="E20" s="248">
        <v>3</v>
      </c>
      <c r="F20" s="248">
        <v>3</v>
      </c>
      <c r="G20" s="248"/>
      <c r="H20" s="248">
        <v>2</v>
      </c>
      <c r="I20" s="248">
        <v>2</v>
      </c>
      <c r="J20" s="248"/>
      <c r="K20" s="248">
        <v>1</v>
      </c>
      <c r="L20" s="248">
        <v>2</v>
      </c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9"/>
    </row>
    <row r="21" spans="1:27" x14ac:dyDescent="0.25">
      <c r="B21" s="236" t="s">
        <v>116</v>
      </c>
      <c r="C21" s="250"/>
      <c r="D21" s="251"/>
      <c r="E21" s="252">
        <v>3</v>
      </c>
      <c r="F21" s="252">
        <v>3</v>
      </c>
      <c r="G21" s="252"/>
      <c r="H21" s="252">
        <v>3</v>
      </c>
      <c r="I21" s="252">
        <v>3</v>
      </c>
      <c r="J21" s="252"/>
      <c r="K21" s="252">
        <v>3</v>
      </c>
      <c r="L21" s="252">
        <v>3</v>
      </c>
      <c r="M21" s="252"/>
      <c r="N21" s="252"/>
      <c r="O21" s="252"/>
      <c r="P21" s="252"/>
      <c r="Q21" s="252"/>
      <c r="R21" s="252"/>
      <c r="S21" s="252"/>
      <c r="T21" s="252"/>
      <c r="U21" s="252"/>
      <c r="V21" s="252"/>
      <c r="W21" s="252"/>
      <c r="X21" s="253"/>
    </row>
    <row r="22" spans="1:27" x14ac:dyDescent="0.25">
      <c r="B22" s="236" t="s">
        <v>220</v>
      </c>
      <c r="C22" s="250"/>
      <c r="D22" s="251"/>
      <c r="E22" s="254">
        <v>4</v>
      </c>
      <c r="F22" s="254">
        <v>4</v>
      </c>
      <c r="G22" s="254"/>
      <c r="H22" s="254">
        <v>3</v>
      </c>
      <c r="I22" s="254">
        <v>3</v>
      </c>
      <c r="J22" s="254"/>
      <c r="K22" s="254">
        <v>5</v>
      </c>
      <c r="L22" s="254">
        <v>5</v>
      </c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5"/>
    </row>
    <row r="23" spans="1:27" x14ac:dyDescent="0.25">
      <c r="B23" s="128" t="s">
        <v>224</v>
      </c>
      <c r="C23" s="122"/>
      <c r="D23" s="206"/>
      <c r="E23" s="256">
        <f>IF(AND(E5=DATA!$B$26,OR(E6=DATA!$C$27,E6=DATA!$C$28,E6=DATA!$C$29,E6=DATA!$C$30)),1,IF(AND(E5=DATA!$B$26,E6=DATA!$C$26),2,IF(AND(E5=DATA!$B$27,OR(E6=DATA!$C$27,E6=DATA!$C$28,E6=DATA!$C$29,E6=DATA!$C$30)),3,IF(AND(E5=DATA!$B$27,E6=DATA!$C$26),4,5))))</f>
        <v>1</v>
      </c>
      <c r="F23" s="256">
        <f>IF(AND(F5=DATA!$B$26,OR(F6=DATA!$C$27,F6=DATA!$C$28,F6=DATA!$C$29,F6=DATA!$C$30)),1,IF(AND(F5=DATA!$B$26,F6=DATA!$C$26),2,IF(AND(F5=DATA!$B$27,OR(F6=DATA!$C$27,F6=DATA!$C$28,F6=DATA!$C$29,F6=DATA!$C$30)),3,IF(AND(F5=DATA!$B$27,F6=DATA!$C$26),4,5))))</f>
        <v>1</v>
      </c>
      <c r="G23" s="256">
        <f>IF(AND(G5=DATA!$B$26,OR(G6=DATA!$C$27,G6=DATA!$C$28,G6=DATA!$C$29,G6=DATA!$C$30)),1,IF(AND(G5=DATA!$B$26,G6=DATA!$C$26),2,IF(AND(G5=DATA!$B$27,OR(G6=DATA!$C$27,G6=DATA!$C$28,G6=DATA!$C$29,G6=DATA!$C$30)),3,IF(AND(G5=DATA!$B$27,G6=DATA!$C$26),4,5))))</f>
        <v>5</v>
      </c>
      <c r="H23" s="256">
        <f>IF(AND(H5=DATA!$B$26,OR(H6=DATA!$C$27,H6=DATA!$C$28,H6=DATA!$C$29,H6=DATA!$C$30)),1,IF(AND(H5=DATA!$B$26,H6=DATA!$C$26),2,IF(AND(H5=DATA!$B$27,OR(H6=DATA!$C$27,H6=DATA!$C$28,H6=DATA!$C$29,H6=DATA!$C$30)),3,IF(AND(H5=DATA!$B$27,H6=DATA!$C$26),4,5))))</f>
        <v>4</v>
      </c>
      <c r="I23" s="256">
        <f>IF(AND(I5=DATA!$B$26,OR(I6=DATA!$C$27,I6=DATA!$C$28,I6=DATA!$C$29,I6=DATA!$C$30)),1,IF(AND(I5=DATA!$B$26,I6=DATA!$C$26),2,IF(AND(I5=DATA!$B$27,OR(I6=DATA!$C$27,I6=DATA!$C$28,I6=DATA!$C$29,I6=DATA!$C$30)),3,IF(AND(I5=DATA!$B$27,I6=DATA!$C$26),4,5))))</f>
        <v>3</v>
      </c>
      <c r="J23" s="256">
        <f>IF(AND(J5=DATA!$B$26,OR(J6=DATA!$C$27,J6=DATA!$C$28,J6=DATA!$C$29,J6=DATA!$C$30)),1,IF(AND(J5=DATA!$B$26,J6=DATA!$C$26),2,IF(AND(J5=DATA!$B$27,OR(J6=DATA!$C$27,J6=DATA!$C$28,J6=DATA!$C$29,J6=DATA!$C$30)),3,IF(AND(J5=DATA!$B$27,J6=DATA!$C$26),4,5))))</f>
        <v>5</v>
      </c>
      <c r="K23" s="256">
        <f>IF(AND(K5=DATA!$B$26,OR(K6=DATA!$C$27,K6=DATA!$C$28,K6=DATA!$C$29,K6=DATA!$C$30)),1,IF(AND(K5=DATA!$B$26,K6=DATA!$C$26),2,IF(AND(K5=DATA!$B$27,OR(K6=DATA!$C$27,K6=DATA!$C$28,K6=DATA!$C$29,K6=DATA!$C$30)),3,IF(AND(K5=DATA!$B$27,K6=DATA!$C$26),4,5))))</f>
        <v>1</v>
      </c>
      <c r="L23" s="256">
        <f>IF(AND(L5=DATA!$B$26,OR(L6=DATA!$C$27,L6=DATA!$C$28,L6=DATA!$C$29,L6=DATA!$C$30)),1,IF(AND(L5=DATA!$B$26,L6=DATA!$C$26),2,IF(AND(L5=DATA!$B$27,OR(L6=DATA!$C$27,L6=DATA!$C$28,L6=DATA!$C$29,L6=DATA!$C$30)),3,IF(AND(L5=DATA!$B$27,L6=DATA!$C$26),4,5))))</f>
        <v>1</v>
      </c>
      <c r="M23" s="256">
        <f>IF(AND(M5=DATA!$B$26,OR(M6=DATA!$C$27,M6=DATA!$C$28,M6=DATA!$C$29,M6=DATA!$C$30)),1,IF(AND(M5=DATA!$B$26,M6=DATA!$C$26),2,IF(AND(M5=DATA!$B$27,OR(M6=DATA!$C$27,M6=DATA!$C$28,M6=DATA!$C$29,M6=DATA!$C$30)),3,IF(AND(M5=DATA!$B$27,M6=DATA!$C$26),4,5))))</f>
        <v>5</v>
      </c>
      <c r="N23" s="256">
        <f>IF(AND(N5=DATA!$B$26,OR(N6=DATA!$C$27,N6=DATA!$C$28,N6=DATA!$C$29,N6=DATA!$C$30)),1,IF(AND(N5=DATA!$B$26,N6=DATA!$C$26),2,IF(AND(N5=DATA!$B$27,OR(N6=DATA!$C$27,N6=DATA!$C$28,N6=DATA!$C$29,N6=DATA!$C$30)),3,IF(AND(N5=DATA!$B$27,N6=DATA!$C$26),4,5))))</f>
        <v>5</v>
      </c>
      <c r="O23" s="256">
        <f>IF(AND(O5=DATA!$B$26,OR(O6=DATA!$C$27,O6=DATA!$C$28,O6=DATA!$C$29,O6=DATA!$C$30)),1,IF(AND(O5=DATA!$B$26,O6=DATA!$C$26),2,IF(AND(O5=DATA!$B$27,OR(O6=DATA!$C$27,O6=DATA!$C$28,O6=DATA!$C$29,O6=DATA!$C$30)),3,IF(AND(O5=DATA!$B$27,O6=DATA!$C$26),4,5))))</f>
        <v>5</v>
      </c>
      <c r="P23" s="256">
        <f>IF(AND(P5=DATA!$B$26,OR(P6=DATA!$C$27,P6=DATA!$C$28,P6=DATA!$C$29,P6=DATA!$C$30)),1,IF(AND(P5=DATA!$B$26,P6=DATA!$C$26),2,IF(AND(P5=DATA!$B$27,OR(P6=DATA!$C$27,P6=DATA!$C$28,P6=DATA!$C$29,P6=DATA!$C$30)),3,IF(AND(P5=DATA!$B$27,P6=DATA!$C$26),4,5))))</f>
        <v>5</v>
      </c>
      <c r="Q23" s="256">
        <f>IF(AND(Q5=DATA!$B$26,OR(Q6=DATA!$C$27,Q6=DATA!$C$28,Q6=DATA!$C$29,Q6=DATA!$C$30)),1,IF(AND(Q5=DATA!$B$26,Q6=DATA!$C$26),2,IF(AND(Q5=DATA!$B$27,OR(Q6=DATA!$C$27,Q6=DATA!$C$28,Q6=DATA!$C$29,Q6=DATA!$C$30)),3,IF(AND(Q5=DATA!$B$27,Q6=DATA!$C$26),4,5))))</f>
        <v>5</v>
      </c>
      <c r="R23" s="256">
        <f>IF(AND(R5=DATA!$B$26,OR(R6=DATA!$C$27,R6=DATA!$C$28,R6=DATA!$C$29,R6=DATA!$C$30)),1,IF(AND(R5=DATA!$B$26,R6=DATA!$C$26),2,IF(AND(R5=DATA!$B$27,OR(R6=DATA!$C$27,R6=DATA!$C$28,R6=DATA!$C$29,R6=DATA!$C$30)),3,IF(AND(R5=DATA!$B$27,R6=DATA!$C$26),4,5))))</f>
        <v>5</v>
      </c>
      <c r="S23" s="256">
        <f>IF(AND(S5=DATA!$B$26,OR(S6=DATA!$C$27,S6=DATA!$C$28,S6=DATA!$C$29,S6=DATA!$C$30)),1,IF(AND(S5=DATA!$B$26,S6=DATA!$C$26),2,IF(AND(S5=DATA!$B$27,OR(S6=DATA!$C$27,S6=DATA!$C$28,S6=DATA!$C$29,S6=DATA!$C$30)),3,IF(AND(S5=DATA!$B$27,S6=DATA!$C$26),4,5))))</f>
        <v>5</v>
      </c>
      <c r="T23" s="256">
        <f>IF(AND(T5=DATA!$B$26,OR(T6=DATA!$C$27,T6=DATA!$C$28,T6=DATA!$C$29,T6=DATA!$C$30)),1,IF(AND(T5=DATA!$B$26,T6=DATA!$C$26),2,IF(AND(T5=DATA!$B$27,OR(T6=DATA!$C$27,T6=DATA!$C$28,T6=DATA!$C$29,T6=DATA!$C$30)),3,IF(AND(T5=DATA!$B$27,T6=DATA!$C$26),4,5))))</f>
        <v>5</v>
      </c>
      <c r="U23" s="256">
        <f>IF(AND(U5=DATA!$B$26,OR(U6=DATA!$C$27,U6=DATA!$C$28,U6=DATA!$C$29,U6=DATA!$C$30)),1,IF(AND(U5=DATA!$B$26,U6=DATA!$C$26),2,IF(AND(U5=DATA!$B$27,OR(U6=DATA!$C$27,U6=DATA!$C$28,U6=DATA!$C$29,U6=DATA!$C$30)),3,IF(AND(U5=DATA!$B$27,U6=DATA!$C$26),4,5))))</f>
        <v>5</v>
      </c>
      <c r="V23" s="256">
        <f>IF(AND(V5=DATA!$B$26,OR(V6=DATA!$C$27,V6=DATA!$C$28,V6=DATA!$C$29,V6=DATA!$C$30)),1,IF(AND(V5=DATA!$B$26,V6=DATA!$C$26),2,IF(AND(V5=DATA!$B$27,OR(V6=DATA!$C$27,V6=DATA!$C$28,V6=DATA!$C$29,V6=DATA!$C$30)),3,IF(AND(V5=DATA!$B$27,V6=DATA!$C$26),4,5))))</f>
        <v>5</v>
      </c>
      <c r="W23" s="256">
        <f>IF(AND(W5=DATA!$B$26,OR(W6=DATA!$C$27,W6=DATA!$C$28,W6=DATA!$C$29,W6=DATA!$C$30)),1,IF(AND(W5=DATA!$B$26,W6=DATA!$C$26),2,IF(AND(W5=DATA!$B$27,OR(W6=DATA!$C$27,W6=DATA!$C$28,W6=DATA!$C$29,W6=DATA!$C$30)),3,IF(AND(W5=DATA!$B$27,W6=DATA!$C$26),4,5))))</f>
        <v>5</v>
      </c>
      <c r="X23" s="257">
        <f>IF(AND(X5=DATA!$B$26,OR(X6=DATA!$C$27,X6=DATA!$C$28,X6=DATA!$C$29,X6=DATA!$C$30)),1,IF(AND(X5=DATA!$B$26,X6=DATA!$C$26),2,IF(AND(X5=DATA!$B$27,OR(X6=DATA!$C$27,X6=DATA!$C$28,X6=DATA!$C$29,X6=DATA!$C$30)),3,IF(AND(X5=DATA!$B$27,X6=DATA!$C$26),4,5))))</f>
        <v>5</v>
      </c>
    </row>
    <row r="24" spans="1:27" x14ac:dyDescent="0.25">
      <c r="B24" s="128" t="s">
        <v>221</v>
      </c>
      <c r="C24" s="122"/>
      <c r="D24" s="206"/>
      <c r="E24" s="256">
        <f>VLOOKUP(E20,DATA!$J$20:$O$24,E23+1,FALSE)</f>
        <v>1.3</v>
      </c>
      <c r="F24" s="256">
        <f>VLOOKUP(F20,DATA!$J$20:$O$24,F23+1,FALSE)</f>
        <v>1.3</v>
      </c>
      <c r="G24" s="256" t="e">
        <f>VLOOKUP(G20,DATA!$J$20:$O$24,G23+1,FALSE)</f>
        <v>#N/A</v>
      </c>
      <c r="H24" s="256">
        <f>VLOOKUP(H20,DATA!$J$20:$O$24,H23+1,FALSE)</f>
        <v>1.1000000000000001</v>
      </c>
      <c r="I24" s="256">
        <f>VLOOKUP(I20,DATA!$J$20:$O$24,I23+1,FALSE)</f>
        <v>1.1000000000000001</v>
      </c>
      <c r="J24" s="256" t="e">
        <f>VLOOKUP(J20,DATA!$J$20:$O$24,J23+1,FALSE)</f>
        <v>#N/A</v>
      </c>
      <c r="K24" s="256">
        <f>VLOOKUP(K20,DATA!$J$20:$O$24,K23+1,FALSE)</f>
        <v>1</v>
      </c>
      <c r="L24" s="256">
        <f>VLOOKUP(L20,DATA!$J$20:$O$24,L23+1,FALSE)</f>
        <v>1.1000000000000001</v>
      </c>
      <c r="M24" s="256" t="e">
        <f>VLOOKUP(M20,DATA!$J$20:$O$24,M23+1,FALSE)</f>
        <v>#N/A</v>
      </c>
      <c r="N24" s="256" t="e">
        <f>VLOOKUP(N20,DATA!$J$20:$O$24,N23+1,FALSE)</f>
        <v>#N/A</v>
      </c>
      <c r="O24" s="256" t="e">
        <f>VLOOKUP(O20,DATA!$J$20:$O$24,O23+1,FALSE)</f>
        <v>#N/A</v>
      </c>
      <c r="P24" s="256" t="e">
        <f>VLOOKUP(P20,DATA!$J$20:$O$24,P23+1,FALSE)</f>
        <v>#N/A</v>
      </c>
      <c r="Q24" s="256" t="e">
        <f>VLOOKUP(Q20,DATA!$J$20:$O$24,Q23+1,FALSE)</f>
        <v>#N/A</v>
      </c>
      <c r="R24" s="256" t="e">
        <f>VLOOKUP(R20,DATA!$J$20:$O$24,R23+1,FALSE)</f>
        <v>#N/A</v>
      </c>
      <c r="S24" s="256" t="e">
        <f>VLOOKUP(S20,DATA!$J$20:$O$24,S23+1,FALSE)</f>
        <v>#N/A</v>
      </c>
      <c r="T24" s="256" t="e">
        <f>VLOOKUP(T20,DATA!$J$20:$O$24,T23+1,FALSE)</f>
        <v>#N/A</v>
      </c>
      <c r="U24" s="256" t="e">
        <f>VLOOKUP(U20,DATA!$J$20:$O$24,U23+1,FALSE)</f>
        <v>#N/A</v>
      </c>
      <c r="V24" s="256" t="e">
        <f>VLOOKUP(V20,DATA!$J$20:$O$24,V23+1,FALSE)</f>
        <v>#N/A</v>
      </c>
      <c r="W24" s="256" t="e">
        <f>VLOOKUP(W20,DATA!$J$20:$O$24,W23+1,FALSE)</f>
        <v>#N/A</v>
      </c>
      <c r="X24" s="257" t="e">
        <f>VLOOKUP(X20,DATA!$J$20:$O$24,X23+1,FALSE)</f>
        <v>#N/A</v>
      </c>
    </row>
    <row r="25" spans="1:27" x14ac:dyDescent="0.25">
      <c r="B25" s="128" t="s">
        <v>222</v>
      </c>
      <c r="C25" s="122"/>
      <c r="D25" s="206"/>
      <c r="E25" s="256">
        <f>VLOOKUP(E21,DATA!$J$25:$O$27,E23+1,FALSE)</f>
        <v>1.2</v>
      </c>
      <c r="F25" s="256">
        <f>VLOOKUP(F21,DATA!$J$25:$O$27,F23+1,FALSE)</f>
        <v>1.2</v>
      </c>
      <c r="G25" s="256" t="e">
        <f>VLOOKUP(G21,DATA!$J$25:$O$27,G23+1,FALSE)</f>
        <v>#N/A</v>
      </c>
      <c r="H25" s="256">
        <f>VLOOKUP(H21,DATA!$J$25:$O$27,H23+1,FALSE)</f>
        <v>1.2</v>
      </c>
      <c r="I25" s="256">
        <f>VLOOKUP(I21,DATA!$J$25:$O$27,I23+1,FALSE)</f>
        <v>1.2</v>
      </c>
      <c r="J25" s="256" t="e">
        <f>VLOOKUP(J21,DATA!$J$25:$O$27,J23+1,FALSE)</f>
        <v>#N/A</v>
      </c>
      <c r="K25" s="256">
        <f>VLOOKUP(K21,DATA!$J$25:$O$27,K23+1,FALSE)</f>
        <v>1.2</v>
      </c>
      <c r="L25" s="256">
        <f>VLOOKUP(L21,DATA!$J$25:$O$27,L23+1,FALSE)</f>
        <v>1.2</v>
      </c>
      <c r="M25" s="256" t="e">
        <f>VLOOKUP(M21,DATA!$J$25:$O$27,M23+1,FALSE)</f>
        <v>#N/A</v>
      </c>
      <c r="N25" s="256" t="e">
        <f>VLOOKUP(N21,DATA!$J$25:$O$27,N23+1,FALSE)</f>
        <v>#N/A</v>
      </c>
      <c r="O25" s="256" t="e">
        <f>VLOOKUP(O21,DATA!$J$25:$O$27,O23+1,FALSE)</f>
        <v>#N/A</v>
      </c>
      <c r="P25" s="256" t="e">
        <f>VLOOKUP(P21,DATA!$J$25:$O$27,P23+1,FALSE)</f>
        <v>#N/A</v>
      </c>
      <c r="Q25" s="256" t="e">
        <f>VLOOKUP(Q21,DATA!$J$25:$O$27,Q23+1,FALSE)</f>
        <v>#N/A</v>
      </c>
      <c r="R25" s="256" t="e">
        <f>VLOOKUP(R21,DATA!$J$25:$O$27,R23+1,FALSE)</f>
        <v>#N/A</v>
      </c>
      <c r="S25" s="256" t="e">
        <f>VLOOKUP(S21,DATA!$J$25:$O$27,S23+1,FALSE)</f>
        <v>#N/A</v>
      </c>
      <c r="T25" s="256" t="e">
        <f>VLOOKUP(T21,DATA!$J$25:$O$27,T23+1,FALSE)</f>
        <v>#N/A</v>
      </c>
      <c r="U25" s="256" t="e">
        <f>VLOOKUP(U21,DATA!$J$25:$O$27,U23+1,FALSE)</f>
        <v>#N/A</v>
      </c>
      <c r="V25" s="256" t="e">
        <f>VLOOKUP(V21,DATA!$J$25:$O$27,V23+1,FALSE)</f>
        <v>#N/A</v>
      </c>
      <c r="W25" s="256" t="e">
        <f>VLOOKUP(W21,DATA!$J$25:$O$27,W23+1,FALSE)</f>
        <v>#N/A</v>
      </c>
      <c r="X25" s="257" t="e">
        <f>VLOOKUP(X21,DATA!$J$25:$O$27,X23+1,FALSE)</f>
        <v>#N/A</v>
      </c>
    </row>
    <row r="26" spans="1:27" x14ac:dyDescent="0.25">
      <c r="B26" s="128" t="s">
        <v>223</v>
      </c>
      <c r="C26" s="122"/>
      <c r="D26" s="206"/>
      <c r="E26" s="256">
        <f>VLOOKUP(E22,DATA!$J$28:$O$33,E23+1,FALSE)</f>
        <v>1.65</v>
      </c>
      <c r="F26" s="256">
        <f>VLOOKUP(F22,DATA!$J$28:$O$33,F23+1,FALSE)</f>
        <v>1.65</v>
      </c>
      <c r="G26" s="256" t="e">
        <f>VLOOKUP(G22,DATA!$J$28:$O$33,G23+1,FALSE)</f>
        <v>#N/A</v>
      </c>
      <c r="H26" s="256">
        <f>VLOOKUP(H22,DATA!$J$28:$O$33,H23+1,FALSE)</f>
        <v>1.2</v>
      </c>
      <c r="I26" s="256">
        <f>VLOOKUP(I22,DATA!$J$28:$O$33,I23+1,FALSE)</f>
        <v>1.3</v>
      </c>
      <c r="J26" s="256" t="e">
        <f>VLOOKUP(J22,DATA!$J$28:$O$33,J23+1,FALSE)</f>
        <v>#N/A</v>
      </c>
      <c r="K26" s="256">
        <f>VLOOKUP(K22,DATA!$J$28:$O$33,K23+1,FALSE)</f>
        <v>2</v>
      </c>
      <c r="L26" s="256">
        <f>VLOOKUP(L22,DATA!$J$28:$O$33,L23+1,FALSE)</f>
        <v>2</v>
      </c>
      <c r="M26" s="256" t="e">
        <f>VLOOKUP(M22,DATA!$J$28:$O$33,M23+1,FALSE)</f>
        <v>#N/A</v>
      </c>
      <c r="N26" s="256" t="e">
        <f>VLOOKUP(N22,DATA!$J$28:$O$33,N23+1,FALSE)</f>
        <v>#N/A</v>
      </c>
      <c r="O26" s="256" t="e">
        <f>VLOOKUP(O22,DATA!$J$28:$O$33,O23+1,FALSE)</f>
        <v>#N/A</v>
      </c>
      <c r="P26" s="256" t="e">
        <f>VLOOKUP(P22,DATA!$J$28:$O$33,P23+1,FALSE)</f>
        <v>#N/A</v>
      </c>
      <c r="Q26" s="256" t="e">
        <f>VLOOKUP(Q22,DATA!$J$28:$O$33,Q23+1,FALSE)</f>
        <v>#N/A</v>
      </c>
      <c r="R26" s="256" t="e">
        <f>VLOOKUP(R22,DATA!$J$28:$O$33,R23+1,FALSE)</f>
        <v>#N/A</v>
      </c>
      <c r="S26" s="256" t="e">
        <f>VLOOKUP(S22,DATA!$J$28:$O$33,S23+1,FALSE)</f>
        <v>#N/A</v>
      </c>
      <c r="T26" s="256" t="e">
        <f>VLOOKUP(T22,DATA!$J$28:$O$33,T23+1,FALSE)</f>
        <v>#N/A</v>
      </c>
      <c r="U26" s="256" t="e">
        <f>VLOOKUP(U22,DATA!$J$28:$O$33,U23+1,FALSE)</f>
        <v>#N/A</v>
      </c>
      <c r="V26" s="256" t="e">
        <f>VLOOKUP(V22,DATA!$J$28:$O$33,V23+1,FALSE)</f>
        <v>#N/A</v>
      </c>
      <c r="W26" s="256" t="e">
        <f>VLOOKUP(W22,DATA!$J$28:$O$33,W23+1,FALSE)</f>
        <v>#N/A</v>
      </c>
      <c r="X26" s="257" t="e">
        <f>VLOOKUP(X22,DATA!$J$28:$O$33,X23+1,FALSE)</f>
        <v>#N/A</v>
      </c>
    </row>
    <row r="27" spans="1:27" x14ac:dyDescent="0.25">
      <c r="B27" s="128" t="s">
        <v>227</v>
      </c>
      <c r="C27" s="122"/>
      <c r="D27" s="206"/>
      <c r="E27" s="256">
        <f>VLOOKUP(DATA!$J$34,DATA!$J$34:$O$36,E23+1,0)*VLOOKUP(DATA!$J$35,DATA!$J$34:$O$36,E23+1,0)*VLOOKUP(DATA!$J$36,DATA!$J$34:$O$36,E23+1,0)</f>
        <v>1.3282500000000002</v>
      </c>
      <c r="F27" s="256">
        <f>VLOOKUP(DATA!$J$34,DATA!$J$34:$O$36,F23+1,0)*VLOOKUP(DATA!$J$35,DATA!$J$34:$O$36,F23+1,0)*VLOOKUP(DATA!$J$36,DATA!$J$34:$O$36,F23+1,0)</f>
        <v>1.3282500000000002</v>
      </c>
      <c r="G27" s="256">
        <f>VLOOKUP(DATA!$J$34,DATA!$J$34:$O$36,G23+1,0)*VLOOKUP(DATA!$J$35,DATA!$J$34:$O$36,G23+1,0)*VLOOKUP(DATA!$J$36,DATA!$J$34:$O$36,G23+1,0)</f>
        <v>1.2127500000000002</v>
      </c>
      <c r="H27" s="256">
        <f>VLOOKUP(DATA!$J$34,DATA!$J$34:$O$36,H23+1,0)*VLOOKUP(DATA!$J$35,DATA!$J$34:$O$36,H23+1,0)*VLOOKUP(DATA!$J$36,DATA!$J$34:$O$36,H23+1,0)</f>
        <v>1.2705000000000004</v>
      </c>
      <c r="I27" s="256">
        <f>VLOOKUP(DATA!$J$34,DATA!$J$34:$O$36,I23+1,0)*VLOOKUP(DATA!$J$35,DATA!$J$34:$O$36,I23+1,0)*VLOOKUP(DATA!$J$36,DATA!$J$34:$O$36,I23+1,0)</f>
        <v>1.2705000000000004</v>
      </c>
      <c r="J27" s="256">
        <f>VLOOKUP(DATA!$J$34,DATA!$J$34:$O$36,J23+1,0)*VLOOKUP(DATA!$J$35,DATA!$J$34:$O$36,J23+1,0)*VLOOKUP(DATA!$J$36,DATA!$J$34:$O$36,J23+1,0)</f>
        <v>1.2127500000000002</v>
      </c>
      <c r="K27" s="256">
        <f>VLOOKUP(DATA!$J$34,DATA!$J$34:$O$36,K23+1,0)*VLOOKUP(DATA!$J$35,DATA!$J$34:$O$36,K23+1,0)*VLOOKUP(DATA!$J$36,DATA!$J$34:$O$36,K23+1,0)</f>
        <v>1.3282500000000002</v>
      </c>
      <c r="L27" s="256">
        <f>VLOOKUP(DATA!$J$34,DATA!$J$34:$O$36,L23+1,0)*VLOOKUP(DATA!$J$35,DATA!$J$34:$O$36,L23+1,0)*VLOOKUP(DATA!$J$36,DATA!$J$34:$O$36,L23+1,0)</f>
        <v>1.3282500000000002</v>
      </c>
      <c r="M27" s="256">
        <f>VLOOKUP(DATA!$J$34,DATA!$J$34:$O$36,M23+1,0)*VLOOKUP(DATA!$J$35,DATA!$J$34:$O$36,M23+1,0)*VLOOKUP(DATA!$J$36,DATA!$J$34:$O$36,M23+1,0)</f>
        <v>1.2127500000000002</v>
      </c>
      <c r="N27" s="256">
        <f>VLOOKUP(DATA!$J$34,DATA!$J$34:$O$36,N23+1,0)*VLOOKUP(DATA!$J$35,DATA!$J$34:$O$36,N23+1,0)*VLOOKUP(DATA!$J$36,DATA!$J$34:$O$36,N23+1,0)</f>
        <v>1.2127500000000002</v>
      </c>
      <c r="O27" s="256">
        <f>VLOOKUP(DATA!$J$34,DATA!$J$34:$O$36,O23+1,0)*VLOOKUP(DATA!$J$35,DATA!$J$34:$O$36,O23+1,0)*VLOOKUP(DATA!$J$36,DATA!$J$34:$O$36,O23+1,0)</f>
        <v>1.2127500000000002</v>
      </c>
      <c r="P27" s="256">
        <f>VLOOKUP(DATA!$J$34,DATA!$J$34:$O$36,P23+1,0)*VLOOKUP(DATA!$J$35,DATA!$J$34:$O$36,P23+1,0)*VLOOKUP(DATA!$J$36,DATA!$J$34:$O$36,P23+1,0)</f>
        <v>1.2127500000000002</v>
      </c>
      <c r="Q27" s="256">
        <f>VLOOKUP(DATA!$J$34,DATA!$J$34:$O$36,Q23+1,0)*VLOOKUP(DATA!$J$35,DATA!$J$34:$O$36,Q23+1,0)*VLOOKUP(DATA!$J$36,DATA!$J$34:$O$36,Q23+1,0)</f>
        <v>1.2127500000000002</v>
      </c>
      <c r="R27" s="256">
        <f>VLOOKUP(DATA!$J$34,DATA!$J$34:$O$36,R23+1,0)*VLOOKUP(DATA!$J$35,DATA!$J$34:$O$36,R23+1,0)*VLOOKUP(DATA!$J$36,DATA!$J$34:$O$36,R23+1,0)</f>
        <v>1.2127500000000002</v>
      </c>
      <c r="S27" s="256">
        <f>VLOOKUP(DATA!$J$34,DATA!$J$34:$O$36,S23+1,0)*VLOOKUP(DATA!$J$35,DATA!$J$34:$O$36,S23+1,0)*VLOOKUP(DATA!$J$36,DATA!$J$34:$O$36,S23+1,0)</f>
        <v>1.2127500000000002</v>
      </c>
      <c r="T27" s="256">
        <f>VLOOKUP(DATA!$J$34,DATA!$J$34:$O$36,T23+1,0)*VLOOKUP(DATA!$J$35,DATA!$J$34:$O$36,T23+1,0)*VLOOKUP(DATA!$J$36,DATA!$J$34:$O$36,T23+1,0)</f>
        <v>1.2127500000000002</v>
      </c>
      <c r="U27" s="256">
        <f>VLOOKUP(DATA!$J$34,DATA!$J$34:$O$36,U23+1,0)*VLOOKUP(DATA!$J$35,DATA!$J$34:$O$36,U23+1,0)*VLOOKUP(DATA!$J$36,DATA!$J$34:$O$36,U23+1,0)</f>
        <v>1.2127500000000002</v>
      </c>
      <c r="V27" s="256">
        <f>VLOOKUP(DATA!$J$34,DATA!$J$34:$O$36,V23+1,0)*VLOOKUP(DATA!$J$35,DATA!$J$34:$O$36,V23+1,0)*VLOOKUP(DATA!$J$36,DATA!$J$34:$O$36,V23+1,0)</f>
        <v>1.2127500000000002</v>
      </c>
      <c r="W27" s="256">
        <f>VLOOKUP(DATA!$J$34,DATA!$J$34:$O$36,W23+1,0)*VLOOKUP(DATA!$J$35,DATA!$J$34:$O$36,W23+1,0)*VLOOKUP(DATA!$J$36,DATA!$J$34:$O$36,W23+1,0)</f>
        <v>1.2127500000000002</v>
      </c>
      <c r="X27" s="257">
        <f>VLOOKUP(DATA!$J$34,DATA!$J$34:$O$36,X23+1,0)*VLOOKUP(DATA!$J$35,DATA!$J$34:$O$36,X23+1,0)*VLOOKUP(DATA!$J$36,DATA!$J$34:$O$36,X23+1,0)</f>
        <v>1.2127500000000002</v>
      </c>
    </row>
    <row r="28" spans="1:27" x14ac:dyDescent="0.25">
      <c r="B28" s="128" t="s">
        <v>215</v>
      </c>
      <c r="C28" s="122"/>
      <c r="D28" s="206"/>
      <c r="E28" s="256">
        <f>HLOOKUP(E23,DATA!$K$20:$O$21,2,0)</f>
        <v>25</v>
      </c>
      <c r="F28" s="256">
        <f>HLOOKUP(F23,DATA!$K$20:$O$21,2,0)</f>
        <v>25</v>
      </c>
      <c r="G28" s="256">
        <f>HLOOKUP(G23,DATA!$K$20:$O$21,2,0)</f>
        <v>43</v>
      </c>
      <c r="H28" s="256">
        <f>HLOOKUP(H23,DATA!$K$20:$O$21,2,0)</f>
        <v>20</v>
      </c>
      <c r="I28" s="256">
        <f>HLOOKUP(I23,DATA!$K$20:$O$21,2,0)</f>
        <v>20</v>
      </c>
      <c r="J28" s="256">
        <f>HLOOKUP(J23,DATA!$K$20:$O$21,2,0)</f>
        <v>43</v>
      </c>
      <c r="K28" s="256">
        <f>HLOOKUP(K23,DATA!$K$20:$O$21,2,0)</f>
        <v>25</v>
      </c>
      <c r="L28" s="256">
        <f>HLOOKUP(L23,DATA!$K$20:$O$21,2,0)</f>
        <v>25</v>
      </c>
      <c r="M28" s="256">
        <f>HLOOKUP(M23,DATA!$K$20:$O$21,2,0)</f>
        <v>43</v>
      </c>
      <c r="N28" s="256">
        <f>HLOOKUP(N23,DATA!$K$20:$O$21,2,0)</f>
        <v>43</v>
      </c>
      <c r="O28" s="256">
        <f>HLOOKUP(O23,DATA!$K$20:$O$21,2,0)</f>
        <v>43</v>
      </c>
      <c r="P28" s="256">
        <f>HLOOKUP(P23,DATA!$K$20:$O$21,2,0)</f>
        <v>43</v>
      </c>
      <c r="Q28" s="256">
        <f>HLOOKUP(Q23,DATA!$K$20:$O$21,2,0)</f>
        <v>43</v>
      </c>
      <c r="R28" s="256">
        <f>HLOOKUP(R23,DATA!$K$20:$O$21,2,0)</f>
        <v>43</v>
      </c>
      <c r="S28" s="256">
        <f>HLOOKUP(S23,DATA!$K$20:$O$21,2,0)</f>
        <v>43</v>
      </c>
      <c r="T28" s="256">
        <f>HLOOKUP(T23,DATA!$K$20:$O$21,2,0)</f>
        <v>43</v>
      </c>
      <c r="U28" s="256">
        <f>HLOOKUP(U23,DATA!$K$20:$O$21,2,0)</f>
        <v>43</v>
      </c>
      <c r="V28" s="256">
        <f>HLOOKUP(V23,DATA!$K$20:$O$21,2,0)</f>
        <v>43</v>
      </c>
      <c r="W28" s="256">
        <f>HLOOKUP(W23,DATA!$K$20:$O$21,2,0)</f>
        <v>43</v>
      </c>
      <c r="X28" s="257">
        <f>HLOOKUP(X23,DATA!$K$20:$O$21,2,0)</f>
        <v>43</v>
      </c>
    </row>
    <row r="29" spans="1:27" x14ac:dyDescent="0.25">
      <c r="B29" s="128" t="s">
        <v>229</v>
      </c>
      <c r="C29" s="122"/>
      <c r="D29" s="258" t="s">
        <v>228</v>
      </c>
      <c r="E29" s="256">
        <f>E28*E27*E26*E25*E24</f>
        <v>85.472887500000013</v>
      </c>
      <c r="F29" s="256">
        <f t="shared" ref="F29:X29" si="4">F28*F27*F26*F25*F24</f>
        <v>85.472887500000013</v>
      </c>
      <c r="G29" s="256" t="e">
        <f t="shared" si="4"/>
        <v>#N/A</v>
      </c>
      <c r="H29" s="256">
        <f t="shared" si="4"/>
        <v>40.249440000000014</v>
      </c>
      <c r="I29" s="256">
        <f t="shared" si="4"/>
        <v>43.603560000000016</v>
      </c>
      <c r="J29" s="256" t="e">
        <f t="shared" si="4"/>
        <v>#N/A</v>
      </c>
      <c r="K29" s="256">
        <f t="shared" si="4"/>
        <v>79.695000000000007</v>
      </c>
      <c r="L29" s="256">
        <f t="shared" si="4"/>
        <v>87.664500000000018</v>
      </c>
      <c r="M29" s="256" t="e">
        <f t="shared" si="4"/>
        <v>#N/A</v>
      </c>
      <c r="N29" s="256" t="e">
        <f t="shared" si="4"/>
        <v>#N/A</v>
      </c>
      <c r="O29" s="256" t="e">
        <f t="shared" si="4"/>
        <v>#N/A</v>
      </c>
      <c r="P29" s="256" t="e">
        <f t="shared" si="4"/>
        <v>#N/A</v>
      </c>
      <c r="Q29" s="256" t="e">
        <f t="shared" si="4"/>
        <v>#N/A</v>
      </c>
      <c r="R29" s="256" t="e">
        <f t="shared" si="4"/>
        <v>#N/A</v>
      </c>
      <c r="S29" s="256" t="e">
        <f t="shared" si="4"/>
        <v>#N/A</v>
      </c>
      <c r="T29" s="256" t="e">
        <f t="shared" si="4"/>
        <v>#N/A</v>
      </c>
      <c r="U29" s="256" t="e">
        <f t="shared" si="4"/>
        <v>#N/A</v>
      </c>
      <c r="V29" s="256" t="e">
        <f t="shared" si="4"/>
        <v>#N/A</v>
      </c>
      <c r="W29" s="256" t="e">
        <f t="shared" si="4"/>
        <v>#N/A</v>
      </c>
      <c r="X29" s="257" t="e">
        <f t="shared" si="4"/>
        <v>#N/A</v>
      </c>
    </row>
    <row r="30" spans="1:27" x14ac:dyDescent="0.25">
      <c r="B30" s="259" t="s">
        <v>31</v>
      </c>
      <c r="C30" s="260"/>
      <c r="D30" s="261" t="s">
        <v>8</v>
      </c>
      <c r="E30" s="256">
        <f>SUM(E12)</f>
        <v>60</v>
      </c>
      <c r="F30" s="256">
        <f t="shared" ref="F30:X30" si="5">SUM(F12)</f>
        <v>60</v>
      </c>
      <c r="G30" s="256">
        <f t="shared" si="5"/>
        <v>0</v>
      </c>
      <c r="H30" s="256">
        <f t="shared" si="5"/>
        <v>60</v>
      </c>
      <c r="I30" s="256">
        <f t="shared" si="5"/>
        <v>60</v>
      </c>
      <c r="J30" s="256">
        <f t="shared" si="5"/>
        <v>0</v>
      </c>
      <c r="K30" s="256">
        <f t="shared" si="5"/>
        <v>116</v>
      </c>
      <c r="L30" s="256">
        <f t="shared" si="5"/>
        <v>60</v>
      </c>
      <c r="M30" s="256">
        <f t="shared" si="5"/>
        <v>0</v>
      </c>
      <c r="N30" s="256">
        <f t="shared" si="5"/>
        <v>0</v>
      </c>
      <c r="O30" s="256">
        <f t="shared" si="5"/>
        <v>0</v>
      </c>
      <c r="P30" s="256">
        <f t="shared" si="5"/>
        <v>0</v>
      </c>
      <c r="Q30" s="256">
        <f t="shared" si="5"/>
        <v>0</v>
      </c>
      <c r="R30" s="256">
        <f t="shared" si="5"/>
        <v>0</v>
      </c>
      <c r="S30" s="256">
        <f t="shared" si="5"/>
        <v>0</v>
      </c>
      <c r="T30" s="256">
        <f t="shared" si="5"/>
        <v>0</v>
      </c>
      <c r="U30" s="256">
        <f t="shared" si="5"/>
        <v>0</v>
      </c>
      <c r="V30" s="256">
        <f t="shared" si="5"/>
        <v>0</v>
      </c>
      <c r="W30" s="256">
        <f t="shared" si="5"/>
        <v>0</v>
      </c>
      <c r="X30" s="262">
        <f t="shared" si="5"/>
        <v>0</v>
      </c>
    </row>
    <row r="31" spans="1:27" x14ac:dyDescent="0.25">
      <c r="B31" s="263" t="s">
        <v>276</v>
      </c>
      <c r="C31" s="264"/>
      <c r="D31" s="265" t="s">
        <v>32</v>
      </c>
      <c r="E31" s="256">
        <f>IF(ISNUMBER(E32),"",IF(E6="baterie",E29*E8/1000*E30*DATA!$G$38,IF(OR(AND(E6="el.ss",E7="ANO"),AND(E6="el.stř",E7="ANO")),E29*E8/1000*E30*DATA!$D$33,E29*E8/1000*E30)))</f>
        <v>1097.1815863993706</v>
      </c>
      <c r="F31" s="256">
        <f>IF(ISNUMBER(F32),"",IF(F6="baterie",F29*F8/1000*F30*DATA!$G$38,IF(OR(AND(F6="el.ss",F7="ANO"),AND(F6="el.stř",F7="ANO")),F29*F8/1000*F30*DATA!$D$33,F29*F8/1000*F30)))</f>
        <v>677.40682259250002</v>
      </c>
      <c r="G31" s="256" t="e">
        <f>IF(ISNUMBER(G32),"",IF(G6="baterie",G29*G8/1000*G30*DATA!$G$38,IF(OR(AND(G6="el.ss",G7="ANO"),AND(G6="el.stř",G7="ANO")),G29*G8/1000*G30*DATA!$D$33,G29*G8/1000*G30)))</f>
        <v>#N/A</v>
      </c>
      <c r="H31" s="256">
        <f>IF(ISNUMBER(H32),"",IF(H6="baterie",H29*H8/1000*H30*DATA!$G$38,IF(OR(AND(H6="el.ss",H7="ANO"),AND(H6="el.stř",H7="ANO")),H29*H8/1000*H30*DATA!$D$33,H29*H8/1000*H30)))</f>
        <v>1207.4832000000004</v>
      </c>
      <c r="I31" s="256">
        <f>IF(ISNUMBER(I32),"",IF(I6="baterie",I29*I8/1000*I30*DATA!$G$38,IF(OR(AND(I6="el.ss",I7="ANO"),AND(I6="el.stř",I7="ANO")),I29*I8/1000*I30*DATA!$D$33,I29*I8/1000*I30)))</f>
        <v>2223.7815600000004</v>
      </c>
      <c r="J31" s="256" t="e">
        <f>IF(ISNUMBER(J32),"",IF(J6="baterie",J29*J8/1000*J30*DATA!$G$38,IF(OR(AND(J6="el.ss",J7="ANO"),AND(J6="el.stř",J7="ANO")),J29*J8/1000*J30*DATA!$D$33,J29*J8/1000*J30)))</f>
        <v>#N/A</v>
      </c>
      <c r="K31" s="256">
        <f>IF(ISNUMBER(K32),"",IF(K6="baterie",K29*K8/1000*K30*DATA!$G$38,IF(OR(AND(K6="el.ss",K7="ANO"),AND(K6="el.stř",K7="ANO")),K29*K8/1000*K30*DATA!$D$33,K29*K8/1000*K30)))</f>
        <v>1977.8253927323542</v>
      </c>
      <c r="L31" s="256">
        <f>IF(ISNUMBER(L32),"",IF(L6="baterie",L29*L8/1000*L30*DATA!$G$38,IF(OR(AND(L6="el.ss",L7="ANO"),AND(L6="el.stř",L7="ANO")),L29*L8/1000*L30*DATA!$D$33,L29*L8/1000*L30)))</f>
        <v>1125.3144475890983</v>
      </c>
      <c r="M31" s="256" t="e">
        <f>IF(ISNUMBER(M32),"",IF(M6="baterie",M29*M8/1000*M30*DATA!$G$38,IF(OR(AND(M6="el.ss",M7="ANO"),AND(M6="el.stř",M7="ANO")),M29*M8/1000*M30*DATA!$D$33,M29*M8/1000*M30)))</f>
        <v>#N/A</v>
      </c>
      <c r="N31" s="256" t="e">
        <f>IF(ISNUMBER(N32),"",IF(N6="baterie",N29*N8/1000*N30*DATA!$G$38,IF(OR(AND(N6="el.ss",N7="ANO"),AND(N6="el.stř",N7="ANO")),N29*N8/1000*N30*DATA!$D$33,N29*N8/1000*N30)))</f>
        <v>#N/A</v>
      </c>
      <c r="O31" s="256" t="e">
        <f>IF(ISNUMBER(O32),"",IF(O6="baterie",O29*O8/1000*O30*DATA!$G$38,IF(OR(AND(O6="el.ss",O7="ANO"),AND(O6="el.stř",O7="ANO")),O29*O8/1000*O30*DATA!$D$33,O29*O8/1000*O30)))</f>
        <v>#N/A</v>
      </c>
      <c r="P31" s="256" t="e">
        <f>IF(ISNUMBER(P32),"",IF(P6="baterie",P29*P8/1000*P30*DATA!$G$38,IF(OR(AND(P6="el.ss",P7="ANO"),AND(P6="el.stř",P7="ANO")),P29*P8/1000*P30*DATA!$D$33,P29*P8/1000*P30)))</f>
        <v>#N/A</v>
      </c>
      <c r="Q31" s="256" t="e">
        <f>IF(ISNUMBER(Q32),"",IF(Q6="baterie",Q29*Q8/1000*Q30*DATA!$G$38,IF(OR(AND(Q6="el.ss",Q7="ANO"),AND(Q6="el.stř",Q7="ANO")),Q29*Q8/1000*Q30*DATA!$D$33,Q29*Q8/1000*Q30)))</f>
        <v>#N/A</v>
      </c>
      <c r="R31" s="256" t="e">
        <f>IF(ISNUMBER(R32),"",IF(R6="baterie",R29*R8/1000*R30*DATA!$G$38,IF(OR(AND(R6="el.ss",R7="ANO"),AND(R6="el.stř",R7="ANO")),R29*R8/1000*R30*DATA!$D$33,R29*R8/1000*R30)))</f>
        <v>#N/A</v>
      </c>
      <c r="S31" s="256" t="e">
        <f>IF(ISNUMBER(S32),"",IF(S6="baterie",S29*S8/1000*S30*DATA!$G$38,IF(OR(AND(S6="el.ss",S7="ANO"),AND(S6="el.stř",S7="ANO")),S29*S8/1000*S30*DATA!$D$33,S29*S8/1000*S30)))</f>
        <v>#N/A</v>
      </c>
      <c r="T31" s="256" t="e">
        <f>IF(ISNUMBER(T32),"",IF(T6="baterie",T29*T8/1000*T30*DATA!$G$38,IF(OR(AND(T6="el.ss",T7="ANO"),AND(T6="el.stř",T7="ANO")),T29*T8/1000*T30*DATA!$D$33,T29*T8/1000*T30)))</f>
        <v>#N/A</v>
      </c>
      <c r="U31" s="256" t="e">
        <f>IF(ISNUMBER(U32),"",IF(U6="baterie",U29*U8/1000*U30*DATA!$G$38,IF(OR(AND(U6="el.ss",U7="ANO"),AND(U6="el.stř",U7="ANO")),U29*U8/1000*U30*DATA!$D$33,U29*U8/1000*U30)))</f>
        <v>#N/A</v>
      </c>
      <c r="V31" s="256" t="e">
        <f>IF(ISNUMBER(V32),"",IF(V6="baterie",V29*V8/1000*V30*DATA!$G$38,IF(OR(AND(V6="el.ss",V7="ANO"),AND(V6="el.stř",V7="ANO")),V29*V8/1000*V30*DATA!$D$33,V29*V8/1000*V30)))</f>
        <v>#N/A</v>
      </c>
      <c r="W31" s="256" t="e">
        <f>IF(ISNUMBER(W32),"",IF(W6="baterie",W29*W8/1000*W30*DATA!$G$38,IF(OR(AND(W6="el.ss",W7="ANO"),AND(W6="el.stř",W7="ANO")),W29*W8/1000*W30*DATA!$D$33,W29*W8/1000*W30)))</f>
        <v>#N/A</v>
      </c>
      <c r="X31" s="257" t="e">
        <f>IF(ISNUMBER(X32),"",IF(X6="baterie",X29*X8/1000*X30*DATA!$G$38,IF(OR(AND(X6="el.ss",X7="ANO"),AND(X6="el.stř",X7="ANO")),X29*X8/1000*X30*DATA!$D$33,X29*X8/1000*X30)))</f>
        <v>#N/A</v>
      </c>
    </row>
    <row r="32" spans="1:27" x14ac:dyDescent="0.25">
      <c r="B32" s="266" t="s">
        <v>310</v>
      </c>
      <c r="C32" s="267"/>
      <c r="D32" s="268" t="s">
        <v>32</v>
      </c>
      <c r="E32" s="269"/>
      <c r="F32" s="254"/>
      <c r="G32" s="254"/>
      <c r="H32" s="254"/>
      <c r="I32" s="254"/>
      <c r="J32" s="252"/>
      <c r="K32" s="254"/>
      <c r="L32" s="254"/>
      <c r="M32" s="254"/>
      <c r="N32" s="269"/>
      <c r="O32" s="254"/>
      <c r="P32" s="254"/>
      <c r="Q32" s="254"/>
      <c r="R32" s="254"/>
      <c r="S32" s="254"/>
      <c r="T32" s="254"/>
      <c r="U32" s="254"/>
      <c r="V32" s="254"/>
      <c r="W32" s="254"/>
      <c r="X32" s="255"/>
    </row>
    <row r="33" spans="2:24" ht="13.8" thickBot="1" x14ac:dyDescent="0.3">
      <c r="B33" s="270" t="s">
        <v>52</v>
      </c>
      <c r="C33" s="271"/>
      <c r="D33" s="272" t="s">
        <v>10</v>
      </c>
      <c r="E33" s="273">
        <f>IF(ISBLANK(E6),"-",IF(ISBLANK(E32),E31*VLOOKUP(E6,DATA!$B$18:$C$22,2,0),E32*VLOOKUP(E6,DATA!$B$18:$C$22,2,0)))</f>
        <v>2479.6303852625774</v>
      </c>
      <c r="F33" s="273">
        <f>IF(ISBLANK(F6),"-",IF(ISBLANK(F32),F31*VLOOKUP(F6,DATA!$B$18:$C$22,2,0),F32*VLOOKUP(F6,DATA!$B$18:$C$22,2,0)))</f>
        <v>1530.9394190590499</v>
      </c>
      <c r="G33" s="273" t="str">
        <f>IF(ISBLANK(G6),"-",IF(ISBLANK(G32),G31*VLOOKUP(G6,DATA!$B$18:$C$22,2,0),G32*VLOOKUP(G6,DATA!$B$18:$C$22,2,0)))</f>
        <v>-</v>
      </c>
      <c r="H33" s="273">
        <f>IF(ISBLANK(H6),"-",IF(ISBLANK(H32),H31*VLOOKUP(H6,DATA!$B$18:$C$22,2,0),H32*VLOOKUP(H6,DATA!$B$18:$C$22,2,0)))</f>
        <v>10770.750144000003</v>
      </c>
      <c r="I33" s="273">
        <f>IF(ISBLANK(I6),"-",IF(ISBLANK(I32),I31*VLOOKUP(I6,DATA!$B$18:$C$22,2,0),I32*VLOOKUP(I6,DATA!$B$18:$C$22,2,0)))</f>
        <v>5025.7463256000001</v>
      </c>
      <c r="J33" s="273" t="str">
        <f>IF(ISBLANK(J6),"-",IF(ISBLANK(J32),J31*VLOOKUP(J6,DATA!$B$18:$C$22,2,0),J32*VLOOKUP(J6,DATA!$B$18:$C$22,2,0)))</f>
        <v>-</v>
      </c>
      <c r="K33" s="273">
        <f>IF(ISBLANK(K6),"-",IF(ISBLANK(K32),K31*VLOOKUP(K6,DATA!$B$18:$C$22,2,0),K32*VLOOKUP(K6,DATA!$B$18:$C$22,2,0)))</f>
        <v>4469.8853875751201</v>
      </c>
      <c r="L33" s="273">
        <f>IF(ISBLANK(L6),"-",IF(ISBLANK(L32),L31*VLOOKUP(L6,DATA!$B$18:$C$22,2,0),L32*VLOOKUP(L6,DATA!$B$18:$C$22,2,0)))</f>
        <v>2543.2106515513619</v>
      </c>
      <c r="M33" s="273" t="str">
        <f>IF(ISBLANK(M6),"-",IF(ISBLANK(M32),M31*VLOOKUP(M6,DATA!$B$18:$C$22,2,0),M32*VLOOKUP(M6,DATA!$B$18:$C$22,2,0)))</f>
        <v>-</v>
      </c>
      <c r="N33" s="273" t="str">
        <f>IF(ISBLANK(N6),"-",IF(ISBLANK(N32),N31*VLOOKUP(N6,DATA!$B$18:$C$22,2,0),N32*VLOOKUP(N6,DATA!$B$18:$C$22,2,0)))</f>
        <v>-</v>
      </c>
      <c r="O33" s="273" t="str">
        <f>IF(ISBLANK(O6),"-",IF(ISBLANK(O32),O31*VLOOKUP(O6,DATA!$B$18:$C$22,2,0),O32*VLOOKUP(O6,DATA!$B$18:$C$22,2,0)))</f>
        <v>-</v>
      </c>
      <c r="P33" s="273" t="str">
        <f>IF(ISBLANK(P6),"-",IF(ISBLANK(P32),P31*VLOOKUP(P6,DATA!$B$18:$C$22,2,0),P32*VLOOKUP(P6,DATA!$B$18:$C$22,2,0)))</f>
        <v>-</v>
      </c>
      <c r="Q33" s="273" t="str">
        <f>IF(ISBLANK(Q6),"-",IF(ISBLANK(Q32),Q31*VLOOKUP(Q6,DATA!$B$18:$C$22,2,0),Q32*VLOOKUP(Q6,DATA!$B$18:$C$22,2,0)))</f>
        <v>-</v>
      </c>
      <c r="R33" s="273" t="str">
        <f>IF(ISBLANK(R6),"-",IF(ISBLANK(R32),R31*VLOOKUP(R6,DATA!$B$18:$C$22,2,0),R32*VLOOKUP(R6,DATA!$B$18:$C$22,2,0)))</f>
        <v>-</v>
      </c>
      <c r="S33" s="273" t="str">
        <f>IF(ISBLANK(S6),"-",IF(ISBLANK(S32),S31*VLOOKUP(S6,DATA!$B$18:$C$22,2,0),S32*VLOOKUP(S6,DATA!$B$18:$C$22,2,0)))</f>
        <v>-</v>
      </c>
      <c r="T33" s="273" t="str">
        <f>IF(ISBLANK(T6),"-",IF(ISBLANK(T32),T31*VLOOKUP(T6,DATA!$B$18:$C$22,2,0),T32*VLOOKUP(T6,DATA!$B$18:$C$22,2,0)))</f>
        <v>-</v>
      </c>
      <c r="U33" s="273" t="str">
        <f>IF(ISBLANK(U6),"-",IF(ISBLANK(U32),U31*VLOOKUP(U6,DATA!$B$18:$C$22,2,0),U32*VLOOKUP(U6,DATA!$B$18:$C$22,2,0)))</f>
        <v>-</v>
      </c>
      <c r="V33" s="273" t="str">
        <f>IF(ISBLANK(V6),"-",IF(ISBLANK(V32),V31*VLOOKUP(V6,DATA!$B$18:$C$22,2,0),V32*VLOOKUP(V6,DATA!$B$18:$C$22,2,0)))</f>
        <v>-</v>
      </c>
      <c r="W33" s="273" t="str">
        <f>IF(ISBLANK(W6),"-",IF(ISBLANK(W32),W31*VLOOKUP(W6,DATA!$B$18:$C$22,2,0),W32*VLOOKUP(W6,DATA!$B$18:$C$22,2,0)))</f>
        <v>-</v>
      </c>
      <c r="X33" s="274" t="str">
        <f>IF(ISBLANK(X6),"-",IF(ISBLANK(X32),X31*VLOOKUP(X6,DATA!$B$18:$C$22,2,0),X32*VLOOKUP(X6,DATA!$B$18:$C$22,2,0)))</f>
        <v>-</v>
      </c>
    </row>
    <row r="34" spans="2:24" x14ac:dyDescent="0.25">
      <c r="B34" s="275"/>
      <c r="C34" s="275"/>
      <c r="D34" s="215"/>
      <c r="E34" s="11"/>
      <c r="F34" s="11"/>
      <c r="G34" s="11"/>
      <c r="H34" s="11"/>
      <c r="I34" s="11"/>
      <c r="J34" s="11"/>
      <c r="K34" s="21"/>
      <c r="L34" s="21"/>
      <c r="M34" s="21"/>
      <c r="N34" s="21"/>
      <c r="O34" s="21"/>
      <c r="P34" s="21"/>
      <c r="Q34" s="21"/>
    </row>
    <row r="35" spans="2:24" ht="13.8" thickBot="1" x14ac:dyDescent="0.3">
      <c r="B35" s="22" t="s">
        <v>261</v>
      </c>
      <c r="C35" s="11"/>
      <c r="D35" s="215"/>
      <c r="E35" s="11"/>
      <c r="F35" s="11"/>
      <c r="G35" s="11"/>
      <c r="H35" s="11"/>
      <c r="I35" s="11"/>
      <c r="J35" s="509" t="s">
        <v>297</v>
      </c>
      <c r="K35" s="509"/>
      <c r="N35" s="509" t="s">
        <v>329</v>
      </c>
      <c r="O35" s="509"/>
      <c r="Q35" s="21"/>
    </row>
    <row r="36" spans="2:24" x14ac:dyDescent="0.25">
      <c r="B36" s="492" t="s">
        <v>300</v>
      </c>
      <c r="C36" s="493"/>
      <c r="D36" s="276" t="s">
        <v>239</v>
      </c>
      <c r="E36" s="494" t="s">
        <v>240</v>
      </c>
      <c r="F36" s="495"/>
      <c r="G36" s="495"/>
      <c r="H36" s="496"/>
      <c r="I36" s="11"/>
      <c r="J36" s="510" t="s">
        <v>295</v>
      </c>
      <c r="K36" s="511"/>
      <c r="L36" s="277" t="s">
        <v>296</v>
      </c>
      <c r="N36" s="507" t="s">
        <v>298</v>
      </c>
      <c r="O36" s="508"/>
      <c r="P36" s="277" t="s">
        <v>299</v>
      </c>
      <c r="Q36" s="11"/>
    </row>
    <row r="37" spans="2:24" x14ac:dyDescent="0.25">
      <c r="B37" s="484" t="s">
        <v>117</v>
      </c>
      <c r="C37" s="485"/>
      <c r="D37" s="278">
        <v>1</v>
      </c>
      <c r="E37" s="482" t="s">
        <v>230</v>
      </c>
      <c r="F37" s="482"/>
      <c r="G37" s="482"/>
      <c r="H37" s="483"/>
      <c r="I37" s="21"/>
      <c r="J37" s="500" t="s">
        <v>304</v>
      </c>
      <c r="K37" s="501"/>
      <c r="L37" s="430">
        <v>1</v>
      </c>
      <c r="N37" s="503" t="s">
        <v>335</v>
      </c>
      <c r="O37" s="504"/>
      <c r="P37" s="430">
        <v>1</v>
      </c>
      <c r="Q37" s="153"/>
    </row>
    <row r="38" spans="2:24" ht="13.8" thickBot="1" x14ac:dyDescent="0.3">
      <c r="B38" s="484"/>
      <c r="C38" s="485"/>
      <c r="D38" s="278">
        <v>2</v>
      </c>
      <c r="E38" s="482" t="s">
        <v>231</v>
      </c>
      <c r="F38" s="482"/>
      <c r="G38" s="482"/>
      <c r="H38" s="483"/>
      <c r="I38" s="21"/>
      <c r="J38" s="500" t="s">
        <v>305</v>
      </c>
      <c r="K38" s="501"/>
      <c r="L38" s="430">
        <v>0.85</v>
      </c>
      <c r="N38" s="505" t="s">
        <v>336</v>
      </c>
      <c r="O38" s="506"/>
      <c r="P38" s="431">
        <v>0.9</v>
      </c>
      <c r="Q38" s="279"/>
    </row>
    <row r="39" spans="2:24" x14ac:dyDescent="0.25">
      <c r="B39" s="484"/>
      <c r="C39" s="485"/>
      <c r="D39" s="278">
        <v>3</v>
      </c>
      <c r="E39" s="482" t="s">
        <v>232</v>
      </c>
      <c r="F39" s="482"/>
      <c r="G39" s="482"/>
      <c r="H39" s="483"/>
      <c r="J39" s="500" t="s">
        <v>306</v>
      </c>
      <c r="K39" s="501"/>
      <c r="L39" s="430">
        <v>0.2</v>
      </c>
      <c r="N39" s="280"/>
      <c r="O39" s="279"/>
      <c r="P39" s="280"/>
      <c r="Q39" s="279"/>
      <c r="S39" s="281"/>
      <c r="T39" s="281"/>
      <c r="U39" s="281"/>
    </row>
    <row r="40" spans="2:24" ht="13.8" x14ac:dyDescent="0.3">
      <c r="B40" s="484" t="s">
        <v>116</v>
      </c>
      <c r="C40" s="485"/>
      <c r="D40" s="278">
        <v>1</v>
      </c>
      <c r="E40" s="482" t="s">
        <v>233</v>
      </c>
      <c r="F40" s="482"/>
      <c r="G40" s="482"/>
      <c r="H40" s="483"/>
      <c r="J40" s="500" t="s">
        <v>307</v>
      </c>
      <c r="K40" s="501"/>
      <c r="L40" s="430">
        <v>0.55000000000000004</v>
      </c>
      <c r="N40" s="280"/>
      <c r="O40" s="279"/>
      <c r="P40" s="280"/>
      <c r="Q40" s="279"/>
    </row>
    <row r="41" spans="2:24" ht="14.4" thickBot="1" x14ac:dyDescent="0.35">
      <c r="B41" s="484"/>
      <c r="C41" s="485"/>
      <c r="D41" s="278">
        <v>2</v>
      </c>
      <c r="E41" s="482" t="s">
        <v>234</v>
      </c>
      <c r="F41" s="482"/>
      <c r="G41" s="482"/>
      <c r="H41" s="483"/>
      <c r="J41" s="498" t="s">
        <v>308</v>
      </c>
      <c r="K41" s="499"/>
      <c r="L41" s="431">
        <v>2</v>
      </c>
      <c r="N41" s="280"/>
      <c r="O41" s="279"/>
      <c r="P41" s="280"/>
      <c r="Q41" s="279"/>
    </row>
    <row r="42" spans="2:24" ht="13.8" x14ac:dyDescent="0.3">
      <c r="B42" s="484"/>
      <c r="C42" s="485"/>
      <c r="D42" s="278">
        <v>3</v>
      </c>
      <c r="E42" s="482" t="s">
        <v>235</v>
      </c>
      <c r="F42" s="482"/>
      <c r="G42" s="482"/>
      <c r="H42" s="483"/>
      <c r="J42" s="502"/>
      <c r="K42" s="502"/>
      <c r="L42" s="153"/>
      <c r="N42" s="280"/>
      <c r="O42" s="279"/>
      <c r="P42" s="280"/>
      <c r="Q42" s="279"/>
    </row>
    <row r="43" spans="2:24" x14ac:dyDescent="0.25">
      <c r="B43" s="484" t="s">
        <v>220</v>
      </c>
      <c r="C43" s="485"/>
      <c r="D43" s="278">
        <v>1</v>
      </c>
      <c r="E43" s="482" t="s">
        <v>236</v>
      </c>
      <c r="F43" s="482"/>
      <c r="G43" s="482"/>
      <c r="H43" s="483"/>
      <c r="J43" s="497"/>
      <c r="K43" s="497"/>
      <c r="L43" s="282"/>
      <c r="N43" s="280"/>
      <c r="O43" s="279"/>
      <c r="P43" s="280"/>
      <c r="Q43" s="279"/>
    </row>
    <row r="44" spans="2:24" x14ac:dyDescent="0.25">
      <c r="B44" s="484"/>
      <c r="C44" s="485"/>
      <c r="D44" s="278">
        <v>2</v>
      </c>
      <c r="E44" s="482" t="s">
        <v>237</v>
      </c>
      <c r="F44" s="482"/>
      <c r="G44" s="482"/>
      <c r="H44" s="483"/>
      <c r="J44" s="497"/>
      <c r="K44" s="497"/>
      <c r="L44" s="282"/>
      <c r="N44" s="280"/>
      <c r="O44" s="279"/>
      <c r="P44" s="280"/>
      <c r="Q44" s="279"/>
    </row>
    <row r="45" spans="2:24" x14ac:dyDescent="0.25">
      <c r="B45" s="484"/>
      <c r="C45" s="485"/>
      <c r="D45" s="278">
        <v>3</v>
      </c>
      <c r="E45" s="482" t="s">
        <v>238</v>
      </c>
      <c r="F45" s="482"/>
      <c r="G45" s="482"/>
      <c r="H45" s="483"/>
      <c r="J45" s="497"/>
      <c r="K45" s="497"/>
      <c r="L45" s="282"/>
      <c r="N45" s="280"/>
      <c r="O45" s="279"/>
      <c r="P45" s="280"/>
      <c r="Q45" s="279"/>
    </row>
    <row r="46" spans="2:24" x14ac:dyDescent="0.25">
      <c r="B46" s="486"/>
      <c r="C46" s="487"/>
      <c r="D46" s="283">
        <v>4</v>
      </c>
      <c r="E46" s="482" t="s">
        <v>280</v>
      </c>
      <c r="F46" s="482"/>
      <c r="G46" s="482"/>
      <c r="H46" s="483"/>
      <c r="J46" s="497"/>
      <c r="K46" s="497"/>
      <c r="L46" s="282"/>
      <c r="N46" s="280"/>
      <c r="O46" s="279"/>
      <c r="P46" s="280"/>
      <c r="Q46" s="279"/>
    </row>
    <row r="47" spans="2:24" x14ac:dyDescent="0.25">
      <c r="B47" s="486"/>
      <c r="C47" s="487"/>
      <c r="D47" s="283">
        <v>5</v>
      </c>
      <c r="E47" s="482" t="s">
        <v>281</v>
      </c>
      <c r="F47" s="482"/>
      <c r="G47" s="482"/>
      <c r="H47" s="483"/>
      <c r="J47" s="497"/>
      <c r="K47" s="497"/>
      <c r="L47" s="282"/>
      <c r="N47" s="280"/>
      <c r="O47" s="279"/>
      <c r="P47" s="280"/>
      <c r="Q47" s="279"/>
    </row>
    <row r="48" spans="2:24" ht="13.8" thickBot="1" x14ac:dyDescent="0.3">
      <c r="B48" s="488"/>
      <c r="C48" s="489"/>
      <c r="D48" s="284">
        <v>6</v>
      </c>
      <c r="E48" s="490" t="s">
        <v>282</v>
      </c>
      <c r="F48" s="490"/>
      <c r="G48" s="490"/>
      <c r="H48" s="491"/>
      <c r="N48" s="280"/>
      <c r="O48" s="279"/>
      <c r="P48" s="280"/>
      <c r="Q48" s="279"/>
    </row>
  </sheetData>
  <sheetProtection password="9028" sheet="1" objects="1" scenarios="1"/>
  <mergeCells count="34">
    <mergeCell ref="N37:O37"/>
    <mergeCell ref="N38:O38"/>
    <mergeCell ref="N36:O36"/>
    <mergeCell ref="J35:K35"/>
    <mergeCell ref="N35:O35"/>
    <mergeCell ref="J36:K36"/>
    <mergeCell ref="J37:K37"/>
    <mergeCell ref="J47:K47"/>
    <mergeCell ref="J41:K41"/>
    <mergeCell ref="J40:K40"/>
    <mergeCell ref="J39:K39"/>
    <mergeCell ref="J38:K38"/>
    <mergeCell ref="J42:K42"/>
    <mergeCell ref="J43:K43"/>
    <mergeCell ref="J44:K44"/>
    <mergeCell ref="J45:K45"/>
    <mergeCell ref="J46:K46"/>
    <mergeCell ref="B36:C36"/>
    <mergeCell ref="E36:H36"/>
    <mergeCell ref="E37:H37"/>
    <mergeCell ref="E38:H38"/>
    <mergeCell ref="E39:H39"/>
    <mergeCell ref="E47:H47"/>
    <mergeCell ref="E41:H41"/>
    <mergeCell ref="E42:H42"/>
    <mergeCell ref="B37:C39"/>
    <mergeCell ref="B40:C42"/>
    <mergeCell ref="B43:C48"/>
    <mergeCell ref="E43:H43"/>
    <mergeCell ref="E44:H44"/>
    <mergeCell ref="E45:H45"/>
    <mergeCell ref="E48:H48"/>
    <mergeCell ref="E46:H46"/>
    <mergeCell ref="E40:H40"/>
  </mergeCells>
  <phoneticPr fontId="1" type="noConversion"/>
  <conditionalFormatting sqref="E7:X7">
    <cfRule type="expression" dxfId="1" priority="1">
      <formula>IF(OR(E$6="motorová",E$6="hybridní"),E$7="ANO","")</formula>
    </cfRule>
    <cfRule type="expression" dxfId="0" priority="4">
      <formula>IF(E$6="baterie",E$7="NE","")</formula>
    </cfRule>
  </conditionalFormatting>
  <dataValidations count="8">
    <dataValidation type="list" allowBlank="1" showInputMessage="1" showErrorMessage="1" sqref="E20:X20" xr:uid="{00000000-0002-0000-0300-000000000000}">
      <formula1>Zastaveni</formula1>
    </dataValidation>
    <dataValidation type="list" allowBlank="1" showInputMessage="1" showErrorMessage="1" sqref="E21:X21" xr:uid="{00000000-0002-0000-0300-000001000000}">
      <formula1>Sklon</formula1>
    </dataValidation>
    <dataValidation type="list" allowBlank="1" showInputMessage="1" showErrorMessage="1" sqref="E22:X22" xr:uid="{00000000-0002-0000-0300-000002000000}">
      <formula1>Rychlost</formula1>
    </dataValidation>
    <dataValidation type="list" allowBlank="1" showInputMessage="1" showErrorMessage="1" sqref="E5:X5" xr:uid="{00000000-0002-0000-0300-000003000000}">
      <formula1>Druh_vlaku</formula1>
    </dataValidation>
    <dataValidation type="list" allowBlank="1" showInputMessage="1" showErrorMessage="1" sqref="E6:X6" xr:uid="{00000000-0002-0000-0300-000004000000}">
      <formula1>Trakce</formula1>
    </dataValidation>
    <dataValidation type="list" allowBlank="1" showInputMessage="1" showErrorMessage="1" sqref="E14:X14" xr:uid="{00000000-0002-0000-0300-000005000000}">
      <formula1>$J$37:$J$41</formula1>
    </dataValidation>
    <dataValidation type="list" allowBlank="1" showInputMessage="1" showErrorMessage="1" sqref="E15:X15" xr:uid="{00000000-0002-0000-0300-000006000000}">
      <formula1>$N$37:$N$38</formula1>
    </dataValidation>
    <dataValidation type="list" allowBlank="1" showInputMessage="1" showErrorMessage="1" sqref="E7:X7" xr:uid="{00000000-0002-0000-0300-000007000000}">
      <formula1>IF(OR(E$6="el.ss",E$6="el.stř"),el.ss,IF(E$6="baterie",baterie,hybridni))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  <ignoredErrors>
    <ignoredError sqref="D13 F13 R13:X13 H1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B2:Y55"/>
  <sheetViews>
    <sheetView showGridLines="0" zoomScale="85" zoomScaleNormal="85" workbookViewId="0">
      <selection activeCell="M16" sqref="M16"/>
    </sheetView>
  </sheetViews>
  <sheetFormatPr defaultColWidth="9.109375" defaultRowHeight="13.2" x14ac:dyDescent="0.25"/>
  <cols>
    <col min="1" max="1" width="2.88671875" style="5" customWidth="1"/>
    <col min="2" max="2" width="25.5546875" style="5" customWidth="1"/>
    <col min="3" max="3" width="9.109375" style="5"/>
    <col min="4" max="23" width="11.6640625" style="5" customWidth="1"/>
    <col min="24" max="16384" width="9.109375" style="5"/>
  </cols>
  <sheetData>
    <row r="2" spans="2:24" ht="13.8" thickBot="1" x14ac:dyDescent="0.3">
      <c r="B2" s="22" t="s">
        <v>262</v>
      </c>
    </row>
    <row r="3" spans="2:24" x14ac:dyDescent="0.25">
      <c r="B3" s="110" t="s">
        <v>106</v>
      </c>
      <c r="C3" s="111"/>
      <c r="D3" s="113" t="s">
        <v>11</v>
      </c>
      <c r="E3" s="112" t="s">
        <v>12</v>
      </c>
      <c r="F3" s="112" t="s">
        <v>13</v>
      </c>
      <c r="G3" s="112" t="s">
        <v>14</v>
      </c>
      <c r="H3" s="112" t="s">
        <v>15</v>
      </c>
      <c r="I3" s="112" t="s">
        <v>16</v>
      </c>
      <c r="J3" s="112" t="s">
        <v>17</v>
      </c>
      <c r="K3" s="112" t="s">
        <v>18</v>
      </c>
      <c r="L3" s="112" t="s">
        <v>19</v>
      </c>
      <c r="M3" s="112" t="s">
        <v>20</v>
      </c>
      <c r="N3" s="112" t="s">
        <v>21</v>
      </c>
      <c r="O3" s="112" t="s">
        <v>22</v>
      </c>
      <c r="P3" s="112" t="s">
        <v>23</v>
      </c>
      <c r="Q3" s="112" t="s">
        <v>24</v>
      </c>
      <c r="R3" s="112" t="s">
        <v>25</v>
      </c>
      <c r="S3" s="112" t="s">
        <v>26</v>
      </c>
      <c r="T3" s="112" t="s">
        <v>27</v>
      </c>
      <c r="U3" s="112" t="s">
        <v>28</v>
      </c>
      <c r="V3" s="112" t="s">
        <v>29</v>
      </c>
      <c r="W3" s="114" t="s">
        <v>30</v>
      </c>
    </row>
    <row r="4" spans="2:24" x14ac:dyDescent="0.25">
      <c r="B4" s="115" t="s">
        <v>47</v>
      </c>
      <c r="C4" s="117"/>
      <c r="D4" s="285" t="str">
        <f>IF('Pořízení a provozuschopnost ŽKV'!E4&lt;&gt;"",'Pořízení a provozuschopnost ŽKV'!E4,"---")</f>
        <v>S9, S10</v>
      </c>
      <c r="E4" s="204" t="str">
        <f>IF('Pořízení a provozuschopnost ŽKV'!F4&lt;&gt;"",'Pořízení a provozuschopnost ŽKV'!F4,"---")</f>
        <v>S1</v>
      </c>
      <c r="F4" s="204" t="str">
        <f>IF('Pořízení a provozuschopnost ŽKV'!G4&lt;&gt;"",'Pořízení a provozuschopnost ŽKV'!G4,"---")</f>
        <v>---</v>
      </c>
      <c r="G4" s="204">
        <f>IF('Pořízení a provozuschopnost ŽKV'!H4&lt;&gt;"",'Pořízení a provozuschopnost ŽKV'!H4,"---")</f>
        <v>4</v>
      </c>
      <c r="H4" s="204">
        <f>IF('Pořízení a provozuschopnost ŽKV'!I4&lt;&gt;"",'Pořízení a provozuschopnost ŽKV'!I4,"---")</f>
        <v>5</v>
      </c>
      <c r="I4" s="204" t="str">
        <f>IF('Pořízení a provozuschopnost ŽKV'!J4&lt;&gt;"",'Pořízení a provozuschopnost ŽKV'!J4,"---")</f>
        <v>---</v>
      </c>
      <c r="J4" s="204" t="str">
        <f>IF('Pořízení a provozuschopnost ŽKV'!K4&lt;&gt;"",'Pořízení a provozuschopnost ŽKV'!K4,"---")</f>
        <v>R27</v>
      </c>
      <c r="K4" s="204" t="str">
        <f>IF('Pořízení a provozuschopnost ŽKV'!L4&lt;&gt;"",'Pořízení a provozuschopnost ŽKV'!L4,"---")</f>
        <v>R61</v>
      </c>
      <c r="L4" s="204" t="str">
        <f>IF('Pořízení a provozuschopnost ŽKV'!M4&lt;&gt;"",'Pořízení a provozuschopnost ŽKV'!M4,"---")</f>
        <v>---</v>
      </c>
      <c r="M4" s="204" t="str">
        <f>IF('Pořízení a provozuschopnost ŽKV'!N4&lt;&gt;"",'Pořízení a provozuschopnost ŽKV'!N4,"---")</f>
        <v>---</v>
      </c>
      <c r="N4" s="204" t="str">
        <f>IF('Pořízení a provozuschopnost ŽKV'!O4&lt;&gt;"",'Pořízení a provozuschopnost ŽKV'!O4,"---")</f>
        <v>---</v>
      </c>
      <c r="O4" s="204" t="str">
        <f>IF('Pořízení a provozuschopnost ŽKV'!P4&lt;&gt;"",'Pořízení a provozuschopnost ŽKV'!P4,"---")</f>
        <v>---</v>
      </c>
      <c r="P4" s="204" t="str">
        <f>IF('Pořízení a provozuschopnost ŽKV'!Q4&lt;&gt;"",'Pořízení a provozuschopnost ŽKV'!Q4,"---")</f>
        <v>---</v>
      </c>
      <c r="Q4" s="204" t="str">
        <f>IF('Pořízení a provozuschopnost ŽKV'!R4&lt;&gt;"",'Pořízení a provozuschopnost ŽKV'!R4,"---")</f>
        <v>---</v>
      </c>
      <c r="R4" s="286" t="str">
        <f>IF('Pořízení a provozuschopnost ŽKV'!S4&lt;&gt;"",'Pořízení a provozuschopnost ŽKV'!S4,"---")</f>
        <v>---</v>
      </c>
      <c r="S4" s="286" t="str">
        <f>IF('Pořízení a provozuschopnost ŽKV'!T4&lt;&gt;"",'Pořízení a provozuschopnost ŽKV'!T4,"---")</f>
        <v>---</v>
      </c>
      <c r="T4" s="204" t="str">
        <f>IF('Pořízení a provozuschopnost ŽKV'!U4&lt;&gt;"",'Pořízení a provozuschopnost ŽKV'!U4,"---")</f>
        <v>---</v>
      </c>
      <c r="U4" s="204" t="str">
        <f>IF('Pořízení a provozuschopnost ŽKV'!V4&lt;&gt;"",'Pořízení a provozuschopnost ŽKV'!V4,"---")</f>
        <v>---</v>
      </c>
      <c r="V4" s="204" t="str">
        <f>IF('Pořízení a provozuschopnost ŽKV'!W4&lt;&gt;"",'Pořízení a provozuschopnost ŽKV'!W4,"---")</f>
        <v>---</v>
      </c>
      <c r="W4" s="205" t="str">
        <f>IF('Pořízení a provozuschopnost ŽKV'!X4&lt;&gt;"",'Pořízení a provozuschopnost ŽKV'!X4,"---")</f>
        <v>---</v>
      </c>
    </row>
    <row r="5" spans="2:24" x14ac:dyDescent="0.25">
      <c r="B5" s="287" t="s">
        <v>38</v>
      </c>
      <c r="C5" s="288"/>
      <c r="D5" s="289" t="s">
        <v>283</v>
      </c>
      <c r="E5" s="290" t="s">
        <v>283</v>
      </c>
      <c r="F5" s="290"/>
      <c r="G5" s="290" t="s">
        <v>284</v>
      </c>
      <c r="H5" s="290" t="s">
        <v>284</v>
      </c>
      <c r="I5" s="290"/>
      <c r="J5" s="290" t="s">
        <v>283</v>
      </c>
      <c r="K5" s="290" t="s">
        <v>283</v>
      </c>
      <c r="L5" s="290"/>
      <c r="M5" s="435"/>
      <c r="N5" s="435"/>
      <c r="O5" s="290"/>
      <c r="P5" s="290"/>
      <c r="Q5" s="290"/>
      <c r="R5" s="290"/>
      <c r="S5" s="290"/>
      <c r="T5" s="290"/>
      <c r="U5" s="290"/>
      <c r="V5" s="290"/>
      <c r="W5" s="291"/>
    </row>
    <row r="6" spans="2:24" x14ac:dyDescent="0.25">
      <c r="B6" s="128" t="s">
        <v>54</v>
      </c>
      <c r="C6" s="292" t="s">
        <v>55</v>
      </c>
      <c r="D6" s="293">
        <f>IF(D5&lt;&gt;"",VLOOKUP(D5,DATA!$I$6:$J$13,2,0),"")</f>
        <v>674.40350646018373</v>
      </c>
      <c r="E6" s="294">
        <f>IF(E5&lt;&gt;"",VLOOKUP(E5,DATA!$I$6:$J$13,2,0),"")</f>
        <v>674.40350646018373</v>
      </c>
      <c r="F6" s="295" t="str">
        <f>IF(F5&lt;&gt;"",VLOOKUP(F5,DATA!$I$6:$J$13,2,0),"")</f>
        <v/>
      </c>
      <c r="G6" s="295">
        <f>IF(G5&lt;&gt;"",VLOOKUP(G5,DATA!$I$6:$J$13,2,0),"")</f>
        <v>944.16490904425746</v>
      </c>
      <c r="H6" s="295">
        <f>IF(H5&lt;&gt;"",VLOOKUP(H5,DATA!$I$6:$J$13,2,0),"")</f>
        <v>944.16490904425746</v>
      </c>
      <c r="I6" s="295" t="str">
        <f>IF(I5&lt;&gt;"",VLOOKUP(I5,DATA!$I$6:$J$13,2,0),"")</f>
        <v/>
      </c>
      <c r="J6" s="295">
        <f>IF(J5&lt;&gt;"",VLOOKUP(J5,DATA!$I$6:$J$13,2,0),"")</f>
        <v>674.40350646018373</v>
      </c>
      <c r="K6" s="295">
        <f>IF(K5&lt;&gt;"",VLOOKUP(K5,DATA!$I$6:$J$13,2,0),"")</f>
        <v>674.40350646018373</v>
      </c>
      <c r="L6" s="295" t="str">
        <f>IF(L5&lt;&gt;"",VLOOKUP(L5,DATA!$I$6:$J$13,2,0),"")</f>
        <v/>
      </c>
      <c r="M6" s="295" t="str">
        <f>IF(M5&lt;&gt;"",VLOOKUP(M5,DATA!$I$6:$J$13,2,0),"")</f>
        <v/>
      </c>
      <c r="N6" s="295" t="str">
        <f>IF(N5&lt;&gt;"",VLOOKUP(N5,DATA!$I$6:$J$13,2,0),"")</f>
        <v/>
      </c>
      <c r="O6" s="295" t="str">
        <f>IF(O5&lt;&gt;"",VLOOKUP(O5,DATA!$I$6:$J$13,2,0),"")</f>
        <v/>
      </c>
      <c r="P6" s="295" t="str">
        <f>IF(P5&lt;&gt;"",VLOOKUP(P5,DATA!$I$6:$J$13,2,0),"")</f>
        <v/>
      </c>
      <c r="Q6" s="295" t="str">
        <f>IF(Q5&lt;&gt;"",VLOOKUP(Q5,DATA!$I$6:$J$13,2,0),"")</f>
        <v/>
      </c>
      <c r="R6" s="294" t="str">
        <f>IF(R5&lt;&gt;"",VLOOKUP(R5,DATA!$I$6:$J$13,2,0),"")</f>
        <v/>
      </c>
      <c r="S6" s="294" t="str">
        <f>IF(S5&lt;&gt;"",VLOOKUP(S5,DATA!$I$6:$J$13,2,0),"")</f>
        <v/>
      </c>
      <c r="T6" s="294" t="str">
        <f>IF(T5&lt;&gt;"",VLOOKUP(T5,DATA!$I$6:$J$13,2,0),"")</f>
        <v/>
      </c>
      <c r="U6" s="295" t="str">
        <f>IF(U5&lt;&gt;"",VLOOKUP(U5,DATA!$I$6:$J$13,2,0),"")</f>
        <v/>
      </c>
      <c r="V6" s="295" t="str">
        <f>IF(V5&lt;&gt;"",VLOOKUP(V5,DATA!$I$6:$J$13,2,0),"")</f>
        <v/>
      </c>
      <c r="W6" s="296" t="str">
        <f>IF(W5&lt;&gt;"",VLOOKUP(W5,DATA!$I$6:$J$13,2,0),"")</f>
        <v/>
      </c>
    </row>
    <row r="7" spans="2:24" x14ac:dyDescent="0.25">
      <c r="B7" s="132" t="s">
        <v>39</v>
      </c>
      <c r="C7" s="134" t="s">
        <v>40</v>
      </c>
      <c r="D7" s="297">
        <v>1</v>
      </c>
      <c r="E7" s="298">
        <v>1</v>
      </c>
      <c r="F7" s="299"/>
      <c r="G7" s="299">
        <v>1</v>
      </c>
      <c r="H7" s="299">
        <v>1</v>
      </c>
      <c r="I7" s="299"/>
      <c r="J7" s="299">
        <v>1</v>
      </c>
      <c r="K7" s="299">
        <v>1</v>
      </c>
      <c r="L7" s="299"/>
      <c r="M7" s="299"/>
      <c r="N7" s="299"/>
      <c r="O7" s="299"/>
      <c r="P7" s="299"/>
      <c r="Q7" s="299"/>
      <c r="R7" s="298"/>
      <c r="S7" s="298"/>
      <c r="T7" s="298"/>
      <c r="U7" s="299"/>
      <c r="V7" s="299"/>
      <c r="W7" s="300"/>
    </row>
    <row r="8" spans="2:24" x14ac:dyDescent="0.25">
      <c r="B8" s="301" t="s">
        <v>111</v>
      </c>
      <c r="C8" s="288"/>
      <c r="D8" s="289" t="s">
        <v>105</v>
      </c>
      <c r="E8" s="290" t="s">
        <v>105</v>
      </c>
      <c r="F8" s="290"/>
      <c r="G8" s="290" t="s">
        <v>110</v>
      </c>
      <c r="H8" s="290"/>
      <c r="I8" s="290"/>
      <c r="J8" s="290" t="s">
        <v>105</v>
      </c>
      <c r="K8" s="290" t="s">
        <v>105</v>
      </c>
      <c r="L8" s="290"/>
      <c r="M8" s="435"/>
      <c r="N8" s="435"/>
      <c r="O8" s="290"/>
      <c r="P8" s="290"/>
      <c r="Q8" s="290"/>
      <c r="R8" s="207"/>
      <c r="S8" s="207"/>
      <c r="T8" s="290"/>
      <c r="U8" s="290"/>
      <c r="V8" s="290"/>
      <c r="W8" s="291"/>
    </row>
    <row r="9" spans="2:24" x14ac:dyDescent="0.25">
      <c r="B9" s="128" t="s">
        <v>54</v>
      </c>
      <c r="C9" s="292" t="s">
        <v>55</v>
      </c>
      <c r="D9" s="293">
        <f>IF(D8&lt;&gt;"",VLOOKUP(D8,DATA!$I$6:$J$13,2,0),"")</f>
        <v>513.16354383024498</v>
      </c>
      <c r="E9" s="294">
        <f>IF(E8&lt;&gt;"",VLOOKUP(E8,DATA!$I$6:$J$13,2,0),"")</f>
        <v>513.16354383024498</v>
      </c>
      <c r="F9" s="295" t="str">
        <f>IF(F8&lt;&gt;"",VLOOKUP(F8,DATA!$I$6:$J$13,2,0),"")</f>
        <v/>
      </c>
      <c r="G9" s="295">
        <f>IF(G8&lt;&gt;"",VLOOKUP(G8,DATA!$I$6:$J$13,2,0),"")</f>
        <v>690.34825044402851</v>
      </c>
      <c r="H9" s="295" t="str">
        <f>IF(H8&lt;&gt;"",VLOOKUP(H8,DATA!$I$6:$J$13,2,0),"")</f>
        <v/>
      </c>
      <c r="I9" s="295" t="str">
        <f>IF(I8&lt;&gt;"",VLOOKUP(I8,DATA!$I$6:$J$13,2,0),"")</f>
        <v/>
      </c>
      <c r="J9" s="295">
        <f>IF(J8&lt;&gt;"",VLOOKUP(J8,DATA!$I$6:$J$13,2,0),"")</f>
        <v>513.16354383024498</v>
      </c>
      <c r="K9" s="295">
        <f>IF(K8&lt;&gt;"",VLOOKUP(K8,DATA!$I$6:$J$13,2,0),"")</f>
        <v>513.16354383024498</v>
      </c>
      <c r="L9" s="295" t="str">
        <f>IF(L8&lt;&gt;"",VLOOKUP(L8,DATA!$I$6:$J$13,2,0),"")</f>
        <v/>
      </c>
      <c r="M9" s="295" t="str">
        <f>IF(M8&lt;&gt;"",VLOOKUP(M8,DATA!$I$6:$J$13,2,0),"")</f>
        <v/>
      </c>
      <c r="N9" s="295" t="str">
        <f>IF(N8&lt;&gt;"",VLOOKUP(N8,DATA!$I$6:$J$13,2,0),"")</f>
        <v/>
      </c>
      <c r="O9" s="295" t="str">
        <f>IF(O8&lt;&gt;"",VLOOKUP(O8,DATA!$I$6:$J$13,2,0),"")</f>
        <v/>
      </c>
      <c r="P9" s="295" t="str">
        <f>IF(P8&lt;&gt;"",VLOOKUP(P8,DATA!$I$6:$J$13,2,0),"")</f>
        <v/>
      </c>
      <c r="Q9" s="295" t="str">
        <f>IF(Q8&lt;&gt;"",VLOOKUP(Q8,DATA!$I$6:$J$13,2,0),"")</f>
        <v/>
      </c>
      <c r="R9" s="295" t="str">
        <f>IF(R8&lt;&gt;"",VLOOKUP(R8,DATA!$I$6:$J$13,2,0),"")</f>
        <v/>
      </c>
      <c r="S9" s="295" t="str">
        <f>IF(S8&lt;&gt;"",VLOOKUP(S8,DATA!$I$6:$J$13,2,0),"")</f>
        <v/>
      </c>
      <c r="T9" s="295" t="str">
        <f>IF(T8&lt;&gt;"",VLOOKUP(T8,DATA!$I$6:$J$13,2,0),"")</f>
        <v/>
      </c>
      <c r="U9" s="295" t="str">
        <f>IF(U8&lt;&gt;"",VLOOKUP(U8,DATA!$I$6:$J$13,2,0),"")</f>
        <v/>
      </c>
      <c r="V9" s="295" t="str">
        <f>IF(V8&lt;&gt;"",VLOOKUP(V8,DATA!$I$6:$J$13,2,0),"")</f>
        <v/>
      </c>
      <c r="W9" s="296" t="str">
        <f>IF(W8&lt;&gt;"",VLOOKUP(W8,DATA!$I$6:$J$13,2,0),"")</f>
        <v/>
      </c>
    </row>
    <row r="10" spans="2:24" x14ac:dyDescent="0.25">
      <c r="B10" s="132" t="s">
        <v>39</v>
      </c>
      <c r="C10" s="134" t="s">
        <v>40</v>
      </c>
      <c r="D10" s="297">
        <v>1</v>
      </c>
      <c r="E10" s="298">
        <v>1</v>
      </c>
      <c r="F10" s="299"/>
      <c r="G10" s="299">
        <v>1</v>
      </c>
      <c r="H10" s="299"/>
      <c r="I10" s="299"/>
      <c r="J10" s="299">
        <v>1</v>
      </c>
      <c r="K10" s="299">
        <v>1</v>
      </c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300"/>
    </row>
    <row r="11" spans="2:24" x14ac:dyDescent="0.25">
      <c r="B11" s="301" t="s">
        <v>112</v>
      </c>
      <c r="C11" s="288"/>
      <c r="D11" s="289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1"/>
    </row>
    <row r="12" spans="2:24" x14ac:dyDescent="0.25">
      <c r="B12" s="128" t="s">
        <v>54</v>
      </c>
      <c r="C12" s="292" t="s">
        <v>55</v>
      </c>
      <c r="D12" s="293" t="str">
        <f>IF(D11&lt;&gt;"",VLOOKUP(D11,DATA!$I$6:$J$13,2,0),"")</f>
        <v/>
      </c>
      <c r="E12" s="294" t="str">
        <f>IF(E11&lt;&gt;"",VLOOKUP(E11,DATA!$I$6:$J$13,2,0),"")</f>
        <v/>
      </c>
      <c r="F12" s="295" t="str">
        <f>IF(F11&lt;&gt;"",VLOOKUP(F11,DATA!$I$6:$J$13,2,0),"")</f>
        <v/>
      </c>
      <c r="G12" s="295" t="str">
        <f>IF(G11&lt;&gt;"",VLOOKUP(G11,DATA!$I$6:$J$13,2,0),"")</f>
        <v/>
      </c>
      <c r="H12" s="295" t="str">
        <f>IF(H11&lt;&gt;"",VLOOKUP(H11,DATA!$I$6:$J$13,2,0),"")</f>
        <v/>
      </c>
      <c r="I12" s="295" t="str">
        <f>IF(I11&lt;&gt;"",VLOOKUP(I11,DATA!$I$6:$J$13,2,0),"")</f>
        <v/>
      </c>
      <c r="J12" s="295" t="str">
        <f>IF(J11&lt;&gt;"",VLOOKUP(J11,DATA!$I$6:$J$13,2,0),"")</f>
        <v/>
      </c>
      <c r="K12" s="295" t="str">
        <f>IF(K11&lt;&gt;"",VLOOKUP(K11,DATA!$I$6:$J$13,2,0),"")</f>
        <v/>
      </c>
      <c r="L12" s="295" t="str">
        <f>IF(L11&lt;&gt;"",VLOOKUP(L11,DATA!$I$6:$J$13,2,0),"")</f>
        <v/>
      </c>
      <c r="M12" s="295" t="str">
        <f>IF(M11&lt;&gt;"",VLOOKUP(M11,DATA!$I$6:$J$13,2,0),"")</f>
        <v/>
      </c>
      <c r="N12" s="295" t="str">
        <f>IF(N11&lt;&gt;"",VLOOKUP(N11,DATA!$I$6:$J$13,2,0),"")</f>
        <v/>
      </c>
      <c r="O12" s="295" t="str">
        <f>IF(O11&lt;&gt;"",VLOOKUP(O11,DATA!$I$6:$J$13,2,0),"")</f>
        <v/>
      </c>
      <c r="P12" s="295" t="str">
        <f>IF(P11&lt;&gt;"",VLOOKUP(P11,DATA!$I$6:$J$13,2,0),"")</f>
        <v/>
      </c>
      <c r="Q12" s="295" t="str">
        <f>IF(Q11&lt;&gt;"",VLOOKUP(Q11,DATA!$I$6:$J$13,2,0),"")</f>
        <v/>
      </c>
      <c r="R12" s="295" t="str">
        <f>IF(R11&lt;&gt;"",VLOOKUP(R11,DATA!$I$6:$J$13,2,0),"")</f>
        <v/>
      </c>
      <c r="S12" s="295" t="str">
        <f>IF(S11&lt;&gt;"",VLOOKUP(S11,DATA!$I$6:$J$13,2,0),"")</f>
        <v/>
      </c>
      <c r="T12" s="295" t="str">
        <f>IF(T11&lt;&gt;"",VLOOKUP(T11,DATA!$I$6:$J$13,2,0),"")</f>
        <v/>
      </c>
      <c r="U12" s="295" t="str">
        <f>IF(U11&lt;&gt;"",VLOOKUP(U11,DATA!$I$6:$J$13,2,0),"")</f>
        <v/>
      </c>
      <c r="V12" s="295" t="str">
        <f>IF(V11&lt;&gt;"",VLOOKUP(V11,DATA!$I$6:$J$13,2,0),"")</f>
        <v/>
      </c>
      <c r="W12" s="296" t="str">
        <f>IF(W11&lt;&gt;"",VLOOKUP(W11,DATA!$I$6:$J$13,2,0),"")</f>
        <v/>
      </c>
    </row>
    <row r="13" spans="2:24" x14ac:dyDescent="0.25">
      <c r="B13" s="132" t="s">
        <v>39</v>
      </c>
      <c r="C13" s="134" t="s">
        <v>40</v>
      </c>
      <c r="D13" s="297"/>
      <c r="E13" s="298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300"/>
    </row>
    <row r="14" spans="2:24" x14ac:dyDescent="0.25">
      <c r="B14" s="301" t="s">
        <v>113</v>
      </c>
      <c r="C14" s="288"/>
      <c r="D14" s="289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1"/>
    </row>
    <row r="15" spans="2:24" x14ac:dyDescent="0.25">
      <c r="B15" s="128" t="s">
        <v>54</v>
      </c>
      <c r="C15" s="292" t="s">
        <v>55</v>
      </c>
      <c r="D15" s="293" t="str">
        <f>IF(D14&lt;&gt;"",VLOOKUP(D14,DATA!$I$6:$J$13,2,0),"")</f>
        <v/>
      </c>
      <c r="E15" s="294" t="str">
        <f>IF(E14&lt;&gt;"",VLOOKUP(E14,DATA!$I$6:$J$13,2,0),"")</f>
        <v/>
      </c>
      <c r="F15" s="295" t="str">
        <f>IF(F14&lt;&gt;"",VLOOKUP(F14,DATA!$I$6:$J$13,2,0),"")</f>
        <v/>
      </c>
      <c r="G15" s="295" t="str">
        <f>IF(G14&lt;&gt;"",VLOOKUP(G14,DATA!$I$6:$J$13,2,0),"")</f>
        <v/>
      </c>
      <c r="H15" s="295" t="str">
        <f>IF(H14&lt;&gt;"",VLOOKUP(H14,DATA!$I$6:$J$13,2,0),"")</f>
        <v/>
      </c>
      <c r="I15" s="295" t="str">
        <f>IF(I14&lt;&gt;"",VLOOKUP(I14,DATA!$I$6:$J$13,2,0),"")</f>
        <v/>
      </c>
      <c r="J15" s="295" t="str">
        <f>IF(J14&lt;&gt;"",VLOOKUP(J14,DATA!$I$6:$J$13,2,0),"")</f>
        <v/>
      </c>
      <c r="K15" s="295" t="str">
        <f>IF(K14&lt;&gt;"",VLOOKUP(K14,DATA!$I$6:$J$13,2,0),"")</f>
        <v/>
      </c>
      <c r="L15" s="295" t="str">
        <f>IF(L14&lt;&gt;"",VLOOKUP(L14,DATA!$I$6:$J$13,2,0),"")</f>
        <v/>
      </c>
      <c r="M15" s="295" t="str">
        <f>IF(M14&lt;&gt;"",VLOOKUP(M14,DATA!$I$6:$J$13,2,0),"")</f>
        <v/>
      </c>
      <c r="N15" s="295" t="str">
        <f>IF(N14&lt;&gt;"",VLOOKUP(N14,DATA!$I$6:$J$13,2,0),"")</f>
        <v/>
      </c>
      <c r="O15" s="295" t="str">
        <f>IF(O14&lt;&gt;"",VLOOKUP(O14,DATA!$I$6:$J$13,2,0),"")</f>
        <v/>
      </c>
      <c r="P15" s="295" t="str">
        <f>IF(P14&lt;&gt;"",VLOOKUP(P14,DATA!$I$6:$J$13,2,0),"")</f>
        <v/>
      </c>
      <c r="Q15" s="295" t="str">
        <f>IF(Q14&lt;&gt;"",VLOOKUP(Q14,DATA!$I$6:$J$13,2,0),"")</f>
        <v/>
      </c>
      <c r="R15" s="295" t="str">
        <f>IF(R14&lt;&gt;"",VLOOKUP(R14,DATA!$I$6:$J$13,2,0),"")</f>
        <v/>
      </c>
      <c r="S15" s="295" t="str">
        <f>IF(S14&lt;&gt;"",VLOOKUP(S14,DATA!$I$6:$J$13,2,0),"")</f>
        <v/>
      </c>
      <c r="T15" s="295" t="str">
        <f>IF(T14&lt;&gt;"",VLOOKUP(T14,DATA!$I$6:$J$13,2,0),"")</f>
        <v/>
      </c>
      <c r="U15" s="295" t="str">
        <f>IF(U14&lt;&gt;"",VLOOKUP(U14,DATA!$I$6:$J$13,2,0),"")</f>
        <v/>
      </c>
      <c r="V15" s="295" t="str">
        <f>IF(V14&lt;&gt;"",VLOOKUP(V14,DATA!$I$6:$J$13,2,0),"")</f>
        <v/>
      </c>
      <c r="W15" s="296" t="str">
        <f>IF(W14&lt;&gt;"",VLOOKUP(W14,DATA!$I$6:$J$13,2,0),"")</f>
        <v/>
      </c>
      <c r="X15" s="21"/>
    </row>
    <row r="16" spans="2:24" x14ac:dyDescent="0.25">
      <c r="B16" s="132" t="s">
        <v>39</v>
      </c>
      <c r="C16" s="134" t="s">
        <v>40</v>
      </c>
      <c r="D16" s="297"/>
      <c r="E16" s="298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/>
      <c r="Q16" s="299"/>
      <c r="R16" s="299"/>
      <c r="S16" s="299"/>
      <c r="T16" s="299"/>
      <c r="U16" s="299"/>
      <c r="V16" s="299"/>
      <c r="W16" s="300"/>
    </row>
    <row r="17" spans="2:25" x14ac:dyDescent="0.25">
      <c r="B17" s="301" t="s">
        <v>114</v>
      </c>
      <c r="C17" s="288"/>
      <c r="D17" s="289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1"/>
    </row>
    <row r="18" spans="2:25" x14ac:dyDescent="0.25">
      <c r="B18" s="128" t="s">
        <v>54</v>
      </c>
      <c r="C18" s="292" t="s">
        <v>55</v>
      </c>
      <c r="D18" s="293" t="str">
        <f>IF(D17&lt;&gt;"",VLOOKUP(D17,DATA!$I$6:$J$13,2,0),"")</f>
        <v/>
      </c>
      <c r="E18" s="294" t="str">
        <f>IF(E17&lt;&gt;"",VLOOKUP(E17,DATA!$I$6:$J$13,2,0),"")</f>
        <v/>
      </c>
      <c r="F18" s="295" t="str">
        <f>IF(F17&lt;&gt;"",VLOOKUP(F17,DATA!$I$6:$J$13,2,0),"")</f>
        <v/>
      </c>
      <c r="G18" s="295" t="str">
        <f>IF(G17&lt;&gt;"",VLOOKUP(G17,DATA!$I$6:$J$13,2,0),"")</f>
        <v/>
      </c>
      <c r="H18" s="295" t="str">
        <f>IF(H17&lt;&gt;"",VLOOKUP(H17,DATA!$I$6:$J$13,2,0),"")</f>
        <v/>
      </c>
      <c r="I18" s="295" t="str">
        <f>IF(I17&lt;&gt;"",VLOOKUP(I17,DATA!$I$6:$J$13,2,0),"")</f>
        <v/>
      </c>
      <c r="J18" s="295" t="str">
        <f>IF(J17&lt;&gt;"",VLOOKUP(J17,DATA!$I$6:$J$13,2,0),"")</f>
        <v/>
      </c>
      <c r="K18" s="295" t="str">
        <f>IF(K17&lt;&gt;"",VLOOKUP(K17,DATA!$I$6:$J$13,2,0),"")</f>
        <v/>
      </c>
      <c r="L18" s="295" t="str">
        <f>IF(L17&lt;&gt;"",VLOOKUP(L17,DATA!$I$6:$J$13,2,0),"")</f>
        <v/>
      </c>
      <c r="M18" s="295" t="str">
        <f>IF(M17&lt;&gt;"",VLOOKUP(M17,DATA!$I$6:$J$13,2,0),"")</f>
        <v/>
      </c>
      <c r="N18" s="295" t="str">
        <f>IF(N17&lt;&gt;"",VLOOKUP(N17,DATA!$I$6:$J$13,2,0),"")</f>
        <v/>
      </c>
      <c r="O18" s="295" t="str">
        <f>IF(O17&lt;&gt;"",VLOOKUP(O17,DATA!$I$6:$J$13,2,0),"")</f>
        <v/>
      </c>
      <c r="P18" s="295" t="str">
        <f>IF(P17&lt;&gt;"",VLOOKUP(P17,DATA!$I$6:$J$13,2,0),"")</f>
        <v/>
      </c>
      <c r="Q18" s="295" t="str">
        <f>IF(Q17&lt;&gt;"",VLOOKUP(Q17,DATA!$I$6:$J$13,2,0),"")</f>
        <v/>
      </c>
      <c r="R18" s="295" t="str">
        <f>IF(R17&lt;&gt;"",VLOOKUP(R17,DATA!$I$6:$J$13,2,0),"")</f>
        <v/>
      </c>
      <c r="S18" s="295" t="str">
        <f>IF(S17&lt;&gt;"",VLOOKUP(S17,DATA!$I$6:$J$13,2,0),"")</f>
        <v/>
      </c>
      <c r="T18" s="295" t="str">
        <f>IF(T17&lt;&gt;"",VLOOKUP(T17,DATA!$I$6:$J$13,2,0),"")</f>
        <v/>
      </c>
      <c r="U18" s="295" t="str">
        <f>IF(U17&lt;&gt;"",VLOOKUP(U17,DATA!$I$6:$J$13,2,0),"")</f>
        <v/>
      </c>
      <c r="V18" s="295" t="str">
        <f>IF(V17&lt;&gt;"",VLOOKUP(V17,DATA!$I$6:$J$13,2,0),"")</f>
        <v/>
      </c>
      <c r="W18" s="296" t="str">
        <f>IF(W17&lt;&gt;"",VLOOKUP(W17,DATA!$I$6:$J$13,2,0),"")</f>
        <v/>
      </c>
    </row>
    <row r="19" spans="2:25" x14ac:dyDescent="0.25">
      <c r="B19" s="132" t="s">
        <v>39</v>
      </c>
      <c r="C19" s="134" t="s">
        <v>40</v>
      </c>
      <c r="D19" s="297"/>
      <c r="E19" s="298"/>
      <c r="F19" s="299"/>
      <c r="G19" s="299"/>
      <c r="H19" s="299"/>
      <c r="I19" s="299"/>
      <c r="J19" s="299"/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  <c r="W19" s="300"/>
    </row>
    <row r="20" spans="2:25" ht="13.8" thickBot="1" x14ac:dyDescent="0.3">
      <c r="B20" s="302" t="s">
        <v>107</v>
      </c>
      <c r="C20" s="180" t="s">
        <v>55</v>
      </c>
      <c r="D20" s="303">
        <f>SUMIF(D6,"&lt;&gt;")*SUMIF(D7,"&lt;&gt;")+SUMIF(D9,"&lt;&gt;")*SUMIF(D10,"&lt;&gt;")+SUMIF(D12,"&lt;&gt;")*SUMIF(D13,"&lt;&gt;")+SUMIF(D15,"&lt;&gt;")*SUMIF(D16,"&lt;&gt;")+SUMIF(D18,"&lt;&gt;")*SUMIF(D19,"&lt;&gt;")</f>
        <v>1187.5670502904286</v>
      </c>
      <c r="E20" s="304">
        <f t="shared" ref="E20:W20" si="0">SUMIF(E6,"&lt;&gt;")*SUMIF(E7,"&lt;&gt;")+SUMIF(E9,"&lt;&gt;")*SUMIF(E10,"&lt;&gt;")+SUMIF(E12,"&lt;&gt;")*SUMIF(E13,"&lt;&gt;")+SUMIF(E15,"&lt;&gt;")*SUMIF(E16,"&lt;&gt;")+SUMIF(E18,"&lt;&gt;")*SUMIF(E19,"&lt;&gt;")</f>
        <v>1187.5670502904286</v>
      </c>
      <c r="F20" s="304">
        <f t="shared" si="0"/>
        <v>0</v>
      </c>
      <c r="G20" s="304">
        <f t="shared" si="0"/>
        <v>1634.513159488286</v>
      </c>
      <c r="H20" s="304">
        <f t="shared" si="0"/>
        <v>944.16490904425746</v>
      </c>
      <c r="I20" s="304">
        <f t="shared" si="0"/>
        <v>0</v>
      </c>
      <c r="J20" s="304">
        <f t="shared" si="0"/>
        <v>1187.5670502904286</v>
      </c>
      <c r="K20" s="304">
        <f t="shared" si="0"/>
        <v>1187.5670502904286</v>
      </c>
      <c r="L20" s="304">
        <f t="shared" si="0"/>
        <v>0</v>
      </c>
      <c r="M20" s="304">
        <f t="shared" si="0"/>
        <v>0</v>
      </c>
      <c r="N20" s="304">
        <f t="shared" si="0"/>
        <v>0</v>
      </c>
      <c r="O20" s="304">
        <f t="shared" si="0"/>
        <v>0</v>
      </c>
      <c r="P20" s="304">
        <f t="shared" si="0"/>
        <v>0</v>
      </c>
      <c r="Q20" s="304">
        <f t="shared" si="0"/>
        <v>0</v>
      </c>
      <c r="R20" s="304">
        <f t="shared" si="0"/>
        <v>0</v>
      </c>
      <c r="S20" s="304">
        <f t="shared" si="0"/>
        <v>0</v>
      </c>
      <c r="T20" s="304">
        <f t="shared" si="0"/>
        <v>0</v>
      </c>
      <c r="U20" s="304">
        <f t="shared" si="0"/>
        <v>0</v>
      </c>
      <c r="V20" s="304">
        <f t="shared" si="0"/>
        <v>0</v>
      </c>
      <c r="W20" s="305">
        <f t="shared" si="0"/>
        <v>0</v>
      </c>
    </row>
    <row r="21" spans="2:25" x14ac:dyDescent="0.25">
      <c r="B21" s="152"/>
      <c r="C21" s="215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</row>
    <row r="22" spans="2:25" x14ac:dyDescent="0.25">
      <c r="B22" s="21"/>
      <c r="C22" s="155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2:25" x14ac:dyDescent="0.25">
      <c r="C23" s="109"/>
      <c r="D23" s="306"/>
    </row>
    <row r="24" spans="2:25" x14ac:dyDescent="0.25">
      <c r="C24" s="109"/>
      <c r="D24" s="306"/>
    </row>
    <row r="25" spans="2:25" x14ac:dyDescent="0.25">
      <c r="C25" s="109"/>
    </row>
    <row r="26" spans="2:25" x14ac:dyDescent="0.25">
      <c r="C26" s="109"/>
      <c r="D26" s="307"/>
    </row>
    <row r="27" spans="2:25" x14ac:dyDescent="0.25">
      <c r="C27" s="109"/>
    </row>
    <row r="28" spans="2:25" x14ac:dyDescent="0.25">
      <c r="C28" s="109"/>
    </row>
    <row r="29" spans="2:25" x14ac:dyDescent="0.25">
      <c r="C29" s="109"/>
    </row>
    <row r="30" spans="2:25" x14ac:dyDescent="0.25">
      <c r="C30" s="109"/>
    </row>
    <row r="31" spans="2:25" x14ac:dyDescent="0.25">
      <c r="C31" s="109"/>
    </row>
    <row r="32" spans="2:25" x14ac:dyDescent="0.25">
      <c r="C32" s="109"/>
    </row>
    <row r="33" spans="3:6" x14ac:dyDescent="0.25">
      <c r="C33" s="109"/>
    </row>
    <row r="34" spans="3:6" x14ac:dyDescent="0.25">
      <c r="C34" s="109"/>
    </row>
    <row r="35" spans="3:6" x14ac:dyDescent="0.25">
      <c r="C35" s="109"/>
    </row>
    <row r="36" spans="3:6" x14ac:dyDescent="0.25">
      <c r="C36" s="109"/>
    </row>
    <row r="37" spans="3:6" x14ac:dyDescent="0.25">
      <c r="C37" s="109"/>
    </row>
    <row r="38" spans="3:6" x14ac:dyDescent="0.25">
      <c r="C38" s="109"/>
    </row>
    <row r="39" spans="3:6" x14ac:dyDescent="0.25">
      <c r="C39" s="109"/>
    </row>
    <row r="40" spans="3:6" x14ac:dyDescent="0.25">
      <c r="C40" s="109"/>
    </row>
    <row r="41" spans="3:6" x14ac:dyDescent="0.25">
      <c r="C41" s="109"/>
    </row>
    <row r="42" spans="3:6" x14ac:dyDescent="0.25">
      <c r="C42" s="109"/>
    </row>
    <row r="43" spans="3:6" x14ac:dyDescent="0.25">
      <c r="C43" s="109"/>
    </row>
    <row r="44" spans="3:6" x14ac:dyDescent="0.25">
      <c r="C44" s="109"/>
    </row>
    <row r="45" spans="3:6" x14ac:dyDescent="0.25">
      <c r="C45" s="109"/>
    </row>
    <row r="46" spans="3:6" x14ac:dyDescent="0.25">
      <c r="C46" s="109"/>
    </row>
    <row r="47" spans="3:6" x14ac:dyDescent="0.25">
      <c r="C47" s="109"/>
      <c r="F47" s="308"/>
    </row>
    <row r="48" spans="3:6" x14ac:dyDescent="0.25">
      <c r="C48" s="109"/>
    </row>
    <row r="49" spans="3:3" x14ac:dyDescent="0.25">
      <c r="C49" s="109"/>
    </row>
    <row r="50" spans="3:3" x14ac:dyDescent="0.25">
      <c r="C50" s="109"/>
    </row>
    <row r="51" spans="3:3" x14ac:dyDescent="0.25">
      <c r="C51" s="109"/>
    </row>
    <row r="52" spans="3:3" x14ac:dyDescent="0.25">
      <c r="C52" s="109"/>
    </row>
    <row r="53" spans="3:3" x14ac:dyDescent="0.25">
      <c r="C53" s="109"/>
    </row>
    <row r="54" spans="3:3" x14ac:dyDescent="0.25">
      <c r="C54" s="109"/>
    </row>
    <row r="55" spans="3:3" x14ac:dyDescent="0.25">
      <c r="C55" s="109"/>
    </row>
  </sheetData>
  <sheetProtection password="9028" sheet="1" objects="1" scenarios="1"/>
  <phoneticPr fontId="1" type="noConversion"/>
  <dataValidations count="1">
    <dataValidation type="list" allowBlank="1" showInputMessage="1" showErrorMessage="1" sqref="D17:W17 D8:W8 D14:W14 D11:W11 D5:W5" xr:uid="{00000000-0002-0000-0400-000000000000}">
      <formula1>Profese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2:X44"/>
  <sheetViews>
    <sheetView showGridLines="0" topLeftCell="A4" zoomScale="115" zoomScaleNormal="115" workbookViewId="0">
      <selection activeCell="E23" sqref="E23"/>
    </sheetView>
  </sheetViews>
  <sheetFormatPr defaultColWidth="9.109375" defaultRowHeight="13.2" x14ac:dyDescent="0.25"/>
  <cols>
    <col min="1" max="1" width="2.88671875" style="5" customWidth="1"/>
    <col min="2" max="2" width="28.88671875" style="5" customWidth="1"/>
    <col min="3" max="3" width="15.33203125" style="5" customWidth="1"/>
    <col min="4" max="4" width="10.5546875" style="109" customWidth="1"/>
    <col min="5" max="24" width="11.6640625" style="5" customWidth="1"/>
    <col min="25" max="16384" width="9.109375" style="5"/>
  </cols>
  <sheetData>
    <row r="2" spans="1:24" ht="13.8" thickBot="1" x14ac:dyDescent="0.3">
      <c r="A2" s="21"/>
      <c r="B2" s="22" t="s">
        <v>263</v>
      </c>
    </row>
    <row r="3" spans="1:24" x14ac:dyDescent="0.25">
      <c r="B3" s="309" t="s">
        <v>121</v>
      </c>
      <c r="C3" s="310"/>
      <c r="D3" s="311"/>
      <c r="E3" s="312" t="s">
        <v>11</v>
      </c>
      <c r="F3" s="311" t="s">
        <v>12</v>
      </c>
      <c r="G3" s="311" t="s">
        <v>13</v>
      </c>
      <c r="H3" s="311" t="s">
        <v>14</v>
      </c>
      <c r="I3" s="311" t="s">
        <v>15</v>
      </c>
      <c r="J3" s="311" t="s">
        <v>16</v>
      </c>
      <c r="K3" s="311" t="s">
        <v>17</v>
      </c>
      <c r="L3" s="311" t="s">
        <v>18</v>
      </c>
      <c r="M3" s="311" t="s">
        <v>19</v>
      </c>
      <c r="N3" s="311" t="s">
        <v>20</v>
      </c>
      <c r="O3" s="311" t="s">
        <v>21</v>
      </c>
      <c r="P3" s="311" t="s">
        <v>22</v>
      </c>
      <c r="Q3" s="311" t="s">
        <v>23</v>
      </c>
      <c r="R3" s="311" t="s">
        <v>24</v>
      </c>
      <c r="S3" s="311" t="s">
        <v>25</v>
      </c>
      <c r="T3" s="311" t="s">
        <v>26</v>
      </c>
      <c r="U3" s="311" t="s">
        <v>27</v>
      </c>
      <c r="V3" s="311" t="s">
        <v>28</v>
      </c>
      <c r="W3" s="311" t="s">
        <v>29</v>
      </c>
      <c r="X3" s="313" t="s">
        <v>30</v>
      </c>
    </row>
    <row r="4" spans="1:24" x14ac:dyDescent="0.25">
      <c r="B4" s="314" t="s">
        <v>47</v>
      </c>
      <c r="C4" s="315"/>
      <c r="D4" s="316"/>
      <c r="E4" s="317" t="str">
        <f>IF('Pořízení a provozuschopnost ŽKV'!E4&lt;&gt;"",'Pořízení a provozuschopnost ŽKV'!E4,"---")</f>
        <v>S9, S10</v>
      </c>
      <c r="F4" s="317" t="str">
        <f>IF('Pořízení a provozuschopnost ŽKV'!F4&lt;&gt;"",'Pořízení a provozuschopnost ŽKV'!F4,"---")</f>
        <v>S1</v>
      </c>
      <c r="G4" s="317" t="str">
        <f>IF('Pořízení a provozuschopnost ŽKV'!G4&lt;&gt;"",'Pořízení a provozuschopnost ŽKV'!G4,"---")</f>
        <v>---</v>
      </c>
      <c r="H4" s="317">
        <f>IF('Pořízení a provozuschopnost ŽKV'!H4&lt;&gt;"",'Pořízení a provozuschopnost ŽKV'!H4,"---")</f>
        <v>4</v>
      </c>
      <c r="I4" s="317">
        <f>IF('Pořízení a provozuschopnost ŽKV'!I4&lt;&gt;"",'Pořízení a provozuschopnost ŽKV'!I4,"---")</f>
        <v>5</v>
      </c>
      <c r="J4" s="317" t="str">
        <f>IF('Pořízení a provozuschopnost ŽKV'!J4&lt;&gt;"",'Pořízení a provozuschopnost ŽKV'!J4,"---")</f>
        <v>---</v>
      </c>
      <c r="K4" s="317" t="str">
        <f>IF('Pořízení a provozuschopnost ŽKV'!K4&lt;&gt;"",'Pořízení a provozuschopnost ŽKV'!K4,"---")</f>
        <v>R27</v>
      </c>
      <c r="L4" s="317" t="str">
        <f>IF('Pořízení a provozuschopnost ŽKV'!L4&lt;&gt;"",'Pořízení a provozuschopnost ŽKV'!L4,"---")</f>
        <v>R61</v>
      </c>
      <c r="M4" s="317" t="str">
        <f>IF('Pořízení a provozuschopnost ŽKV'!M4&lt;&gt;"",'Pořízení a provozuschopnost ŽKV'!M4,"---")</f>
        <v>---</v>
      </c>
      <c r="N4" s="317" t="str">
        <f>IF('Pořízení a provozuschopnost ŽKV'!N4&lt;&gt;"",'Pořízení a provozuschopnost ŽKV'!N4,"---")</f>
        <v>---</v>
      </c>
      <c r="O4" s="317" t="str">
        <f>IF('Pořízení a provozuschopnost ŽKV'!O4&lt;&gt;"",'Pořízení a provozuschopnost ŽKV'!O4,"---")</f>
        <v>---</v>
      </c>
      <c r="P4" s="317" t="str">
        <f>IF('Pořízení a provozuschopnost ŽKV'!P4&lt;&gt;"",'Pořízení a provozuschopnost ŽKV'!P4,"---")</f>
        <v>---</v>
      </c>
      <c r="Q4" s="317" t="str">
        <f>IF('Pořízení a provozuschopnost ŽKV'!Q4&lt;&gt;"",'Pořízení a provozuschopnost ŽKV'!Q4,"---")</f>
        <v>---</v>
      </c>
      <c r="R4" s="317" t="str">
        <f>IF('Pořízení a provozuschopnost ŽKV'!R4&lt;&gt;"",'Pořízení a provozuschopnost ŽKV'!R4,"---")</f>
        <v>---</v>
      </c>
      <c r="S4" s="317" t="str">
        <f>IF('Pořízení a provozuschopnost ŽKV'!S4&lt;&gt;"",'Pořízení a provozuschopnost ŽKV'!S4,"---")</f>
        <v>---</v>
      </c>
      <c r="T4" s="317" t="str">
        <f>IF('Pořízení a provozuschopnost ŽKV'!T4&lt;&gt;"",'Pořízení a provozuschopnost ŽKV'!T4,"---")</f>
        <v>---</v>
      </c>
      <c r="U4" s="317" t="str">
        <f>IF('Pořízení a provozuschopnost ŽKV'!U4&lt;&gt;"",'Pořízení a provozuschopnost ŽKV'!U4,"---")</f>
        <v>---</v>
      </c>
      <c r="V4" s="317" t="str">
        <f>IF('Pořízení a provozuschopnost ŽKV'!V4&lt;&gt;"",'Pořízení a provozuschopnost ŽKV'!V4,"---")</f>
        <v>---</v>
      </c>
      <c r="W4" s="317" t="str">
        <f>IF('Pořízení a provozuschopnost ŽKV'!W4&lt;&gt;"",'Pořízení a provozuschopnost ŽKV'!W4,"---")</f>
        <v>---</v>
      </c>
      <c r="X4" s="318" t="str">
        <f>IF('Pořízení a provozuschopnost ŽKV'!X4&lt;&gt;"",'Pořízení a provozuschopnost ŽKV'!X4,"---")</f>
        <v>---</v>
      </c>
    </row>
    <row r="5" spans="1:24" x14ac:dyDescent="0.25">
      <c r="B5" s="128" t="s">
        <v>3</v>
      </c>
      <c r="C5" s="129"/>
      <c r="D5" s="123"/>
      <c r="E5" s="319" t="str">
        <f>'Parametry jízdy vlaku'!E5</f>
        <v>osobní</v>
      </c>
      <c r="F5" s="319" t="str">
        <f>'Parametry jízdy vlaku'!F5</f>
        <v>osobní</v>
      </c>
      <c r="G5" s="319">
        <f>'Parametry jízdy vlaku'!G5</f>
        <v>0</v>
      </c>
      <c r="H5" s="319" t="str">
        <f>'Parametry jízdy vlaku'!H5</f>
        <v>nákladní</v>
      </c>
      <c r="I5" s="319" t="str">
        <f>'Parametry jízdy vlaku'!I5</f>
        <v>nákladní</v>
      </c>
      <c r="J5" s="319">
        <f>'Parametry jízdy vlaku'!J5</f>
        <v>0</v>
      </c>
      <c r="K5" s="319" t="str">
        <f>'Parametry jízdy vlaku'!K5</f>
        <v>osobní</v>
      </c>
      <c r="L5" s="319" t="str">
        <f>'Parametry jízdy vlaku'!L5</f>
        <v>osobní</v>
      </c>
      <c r="M5" s="319">
        <f>'Parametry jízdy vlaku'!M5</f>
        <v>0</v>
      </c>
      <c r="N5" s="319">
        <f>'Parametry jízdy vlaku'!N5</f>
        <v>0</v>
      </c>
      <c r="O5" s="319">
        <f>'Parametry jízdy vlaku'!O5</f>
        <v>0</v>
      </c>
      <c r="P5" s="319">
        <f>'Parametry jízdy vlaku'!P5</f>
        <v>0</v>
      </c>
      <c r="Q5" s="319">
        <f>'Parametry jízdy vlaku'!Q5</f>
        <v>0</v>
      </c>
      <c r="R5" s="319">
        <f>'Parametry jízdy vlaku'!R5</f>
        <v>0</v>
      </c>
      <c r="S5" s="319">
        <f>'Parametry jízdy vlaku'!S5</f>
        <v>0</v>
      </c>
      <c r="T5" s="319">
        <f>'Parametry jízdy vlaku'!T5</f>
        <v>0</v>
      </c>
      <c r="U5" s="319">
        <f>'Parametry jízdy vlaku'!U5</f>
        <v>0</v>
      </c>
      <c r="V5" s="319">
        <f>'Parametry jízdy vlaku'!V5</f>
        <v>0</v>
      </c>
      <c r="W5" s="319">
        <f>'Parametry jízdy vlaku'!W5</f>
        <v>0</v>
      </c>
      <c r="X5" s="320">
        <f>'Parametry jízdy vlaku'!X5</f>
        <v>0</v>
      </c>
    </row>
    <row r="6" spans="1:24" x14ac:dyDescent="0.25">
      <c r="B6" s="28" t="s">
        <v>4</v>
      </c>
      <c r="C6" s="122"/>
      <c r="D6" s="123"/>
      <c r="E6" s="319" t="str">
        <f>'Parametry jízdy vlaku'!E6</f>
        <v>baterie</v>
      </c>
      <c r="F6" s="319" t="str">
        <f>'Parametry jízdy vlaku'!F6</f>
        <v>el.ss</v>
      </c>
      <c r="G6" s="319">
        <f>'Parametry jízdy vlaku'!G6</f>
        <v>0</v>
      </c>
      <c r="H6" s="319" t="str">
        <f>'Parametry jízdy vlaku'!H6</f>
        <v>motorová</v>
      </c>
      <c r="I6" s="319" t="str">
        <f>'Parametry jízdy vlaku'!I6</f>
        <v>el.ss</v>
      </c>
      <c r="J6" s="319">
        <f>'Parametry jízdy vlaku'!J6</f>
        <v>0</v>
      </c>
      <c r="K6" s="319" t="str">
        <f>'Parametry jízdy vlaku'!K6</f>
        <v>baterie</v>
      </c>
      <c r="L6" s="319" t="str">
        <f>'Parametry jízdy vlaku'!L6</f>
        <v>baterie</v>
      </c>
      <c r="M6" s="319">
        <f>'Parametry jízdy vlaku'!M6</f>
        <v>0</v>
      </c>
      <c r="N6" s="319">
        <f>'Parametry jízdy vlaku'!N6</f>
        <v>0</v>
      </c>
      <c r="O6" s="319">
        <f>'Parametry jízdy vlaku'!O6</f>
        <v>0</v>
      </c>
      <c r="P6" s="319">
        <f>'Parametry jízdy vlaku'!P6</f>
        <v>0</v>
      </c>
      <c r="Q6" s="319">
        <f>'Parametry jízdy vlaku'!Q6</f>
        <v>0</v>
      </c>
      <c r="R6" s="319">
        <f>'Parametry jízdy vlaku'!R6</f>
        <v>0</v>
      </c>
      <c r="S6" s="319">
        <f>'Parametry jízdy vlaku'!S6</f>
        <v>0</v>
      </c>
      <c r="T6" s="319">
        <f>'Parametry jízdy vlaku'!T6</f>
        <v>0</v>
      </c>
      <c r="U6" s="319">
        <f>'Parametry jízdy vlaku'!U6</f>
        <v>0</v>
      </c>
      <c r="V6" s="319">
        <f>'Parametry jízdy vlaku'!V6</f>
        <v>0</v>
      </c>
      <c r="W6" s="319">
        <f>'Parametry jízdy vlaku'!W6</f>
        <v>0</v>
      </c>
      <c r="X6" s="320">
        <f>'Parametry jízdy vlaku'!X6</f>
        <v>0</v>
      </c>
    </row>
    <row r="7" spans="1:24" x14ac:dyDescent="0.25">
      <c r="B7" s="259" t="s">
        <v>5</v>
      </c>
      <c r="C7" s="260"/>
      <c r="D7" s="134" t="s">
        <v>7</v>
      </c>
      <c r="E7" s="321">
        <f>'Parametry jízdy vlaku'!E8</f>
        <v>200</v>
      </c>
      <c r="F7" s="321">
        <f>'Parametry jízdy vlaku'!F8</f>
        <v>155.4</v>
      </c>
      <c r="G7" s="321">
        <f>'Parametry jízdy vlaku'!G8</f>
        <v>0</v>
      </c>
      <c r="H7" s="321">
        <f>'Parametry jízdy vlaku'!H8</f>
        <v>500</v>
      </c>
      <c r="I7" s="321">
        <f>'Parametry jízdy vlaku'!I8</f>
        <v>1000</v>
      </c>
      <c r="J7" s="321">
        <f>'Parametry jízdy vlaku'!J8</f>
        <v>0</v>
      </c>
      <c r="K7" s="321">
        <f>'Parametry jízdy vlaku'!K8</f>
        <v>200</v>
      </c>
      <c r="L7" s="321">
        <f>'Parametry jízdy vlaku'!L8</f>
        <v>200</v>
      </c>
      <c r="M7" s="321">
        <f>'Parametry jízdy vlaku'!M8</f>
        <v>0</v>
      </c>
      <c r="N7" s="321">
        <f>'Parametry jízdy vlaku'!N8</f>
        <v>0</v>
      </c>
      <c r="O7" s="321">
        <f>'Parametry jízdy vlaku'!O8</f>
        <v>0</v>
      </c>
      <c r="P7" s="321">
        <f>'Parametry jízdy vlaku'!P8</f>
        <v>0</v>
      </c>
      <c r="Q7" s="321">
        <f>'Parametry jízdy vlaku'!Q8</f>
        <v>0</v>
      </c>
      <c r="R7" s="321">
        <f>'Parametry jízdy vlaku'!R8</f>
        <v>0</v>
      </c>
      <c r="S7" s="321">
        <f>'Parametry jízdy vlaku'!S8</f>
        <v>0</v>
      </c>
      <c r="T7" s="321">
        <f>'Parametry jízdy vlaku'!T8</f>
        <v>0</v>
      </c>
      <c r="U7" s="321">
        <f>'Parametry jízdy vlaku'!U8</f>
        <v>0</v>
      </c>
      <c r="V7" s="321">
        <f>'Parametry jízdy vlaku'!V8</f>
        <v>0</v>
      </c>
      <c r="W7" s="321">
        <f>'Parametry jízdy vlaku'!W8</f>
        <v>0</v>
      </c>
      <c r="X7" s="322">
        <f>'Parametry jízdy vlaku'!X8</f>
        <v>0</v>
      </c>
    </row>
    <row r="8" spans="1:24" ht="13.8" thickBot="1" x14ac:dyDescent="0.3">
      <c r="B8" s="323" t="s">
        <v>311</v>
      </c>
      <c r="C8" s="211"/>
      <c r="D8" s="324" t="s">
        <v>8</v>
      </c>
      <c r="E8" s="325">
        <f>'Parametry jízdy vlaku'!E30</f>
        <v>60</v>
      </c>
      <c r="F8" s="325">
        <f>'Parametry jízdy vlaku'!F30</f>
        <v>60</v>
      </c>
      <c r="G8" s="325">
        <f>'Parametry jízdy vlaku'!G30</f>
        <v>0</v>
      </c>
      <c r="H8" s="325">
        <f>'Parametry jízdy vlaku'!H30</f>
        <v>60</v>
      </c>
      <c r="I8" s="325">
        <f>'Parametry jízdy vlaku'!I30</f>
        <v>60</v>
      </c>
      <c r="J8" s="325">
        <f>'Parametry jízdy vlaku'!J30</f>
        <v>0</v>
      </c>
      <c r="K8" s="325">
        <f>'Parametry jízdy vlaku'!K30</f>
        <v>116</v>
      </c>
      <c r="L8" s="325">
        <f>'Parametry jízdy vlaku'!L30</f>
        <v>60</v>
      </c>
      <c r="M8" s="325">
        <f>'Parametry jízdy vlaku'!M30</f>
        <v>0</v>
      </c>
      <c r="N8" s="325">
        <f>'Parametry jízdy vlaku'!N30</f>
        <v>0</v>
      </c>
      <c r="O8" s="325">
        <f>'Parametry jízdy vlaku'!O30</f>
        <v>0</v>
      </c>
      <c r="P8" s="325">
        <f>'Parametry jízdy vlaku'!P30</f>
        <v>0</v>
      </c>
      <c r="Q8" s="325">
        <f>'Parametry jízdy vlaku'!Q30</f>
        <v>0</v>
      </c>
      <c r="R8" s="325">
        <f>'Parametry jízdy vlaku'!R30</f>
        <v>0</v>
      </c>
      <c r="S8" s="325">
        <f>'Parametry jízdy vlaku'!S30</f>
        <v>0</v>
      </c>
      <c r="T8" s="325">
        <f>'Parametry jízdy vlaku'!T30</f>
        <v>0</v>
      </c>
      <c r="U8" s="325">
        <f>'Parametry jízdy vlaku'!U30</f>
        <v>0</v>
      </c>
      <c r="V8" s="325">
        <f>'Parametry jízdy vlaku'!V30</f>
        <v>0</v>
      </c>
      <c r="W8" s="325">
        <f>'Parametry jízdy vlaku'!W30</f>
        <v>0</v>
      </c>
      <c r="X8" s="326">
        <f>'Parametry jízdy vlaku'!X30</f>
        <v>0</v>
      </c>
    </row>
    <row r="9" spans="1:24" x14ac:dyDescent="0.25">
      <c r="B9" s="152"/>
      <c r="C9" s="11"/>
      <c r="D9" s="153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</row>
    <row r="10" spans="1:24" ht="13.8" thickBot="1" x14ac:dyDescent="0.3">
      <c r="B10" s="22" t="s">
        <v>264</v>
      </c>
      <c r="C10" s="11"/>
      <c r="D10" s="215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</row>
    <row r="11" spans="1:24" ht="14.4" thickBot="1" x14ac:dyDescent="0.3">
      <c r="B11" s="512" t="s">
        <v>42</v>
      </c>
      <c r="C11" s="513"/>
      <c r="D11" s="513"/>
      <c r="E11" s="327" t="str">
        <f>E4</f>
        <v>S9, S10</v>
      </c>
      <c r="F11" s="328" t="str">
        <f t="shared" ref="F11:X11" si="0">F4</f>
        <v>S1</v>
      </c>
      <c r="G11" s="328" t="str">
        <f t="shared" si="0"/>
        <v>---</v>
      </c>
      <c r="H11" s="328">
        <f t="shared" si="0"/>
        <v>4</v>
      </c>
      <c r="I11" s="328">
        <f t="shared" si="0"/>
        <v>5</v>
      </c>
      <c r="J11" s="328" t="str">
        <f t="shared" si="0"/>
        <v>---</v>
      </c>
      <c r="K11" s="328" t="str">
        <f t="shared" si="0"/>
        <v>R27</v>
      </c>
      <c r="L11" s="328" t="str">
        <f t="shared" si="0"/>
        <v>R61</v>
      </c>
      <c r="M11" s="328" t="str">
        <f t="shared" si="0"/>
        <v>---</v>
      </c>
      <c r="N11" s="328" t="str">
        <f t="shared" si="0"/>
        <v>---</v>
      </c>
      <c r="O11" s="328" t="str">
        <f t="shared" si="0"/>
        <v>---</v>
      </c>
      <c r="P11" s="328" t="str">
        <f t="shared" si="0"/>
        <v>---</v>
      </c>
      <c r="Q11" s="328" t="str">
        <f t="shared" si="0"/>
        <v>---</v>
      </c>
      <c r="R11" s="328" t="str">
        <f t="shared" si="0"/>
        <v>---</v>
      </c>
      <c r="S11" s="328" t="str">
        <f t="shared" si="0"/>
        <v>---</v>
      </c>
      <c r="T11" s="328" t="str">
        <f t="shared" si="0"/>
        <v>---</v>
      </c>
      <c r="U11" s="328" t="str">
        <f t="shared" si="0"/>
        <v>---</v>
      </c>
      <c r="V11" s="328" t="str">
        <f t="shared" si="0"/>
        <v>---</v>
      </c>
      <c r="W11" s="328" t="str">
        <f t="shared" si="0"/>
        <v>---</v>
      </c>
      <c r="X11" s="329" t="str">
        <f t="shared" si="0"/>
        <v>---</v>
      </c>
    </row>
    <row r="12" spans="1:24" x14ac:dyDescent="0.25">
      <c r="B12" s="330" t="s">
        <v>6</v>
      </c>
      <c r="C12" s="331"/>
      <c r="D12" s="332" t="s">
        <v>10</v>
      </c>
      <c r="E12" s="333">
        <f>IF(ISNUMBER('Parametry jízdy vlaku'!E16),'Parametry jízdy vlaku'!E16,"-")</f>
        <v>772.63200000000018</v>
      </c>
      <c r="F12" s="333">
        <f>IF(ISNUMBER('Parametry jízdy vlaku'!F16),'Parametry jízdy vlaku'!F16,"-")</f>
        <v>600.3350640000001</v>
      </c>
      <c r="G12" s="333" t="str">
        <f>IF(ISNUMBER('Parametry jízdy vlaku'!G16),'Parametry jízdy vlaku'!G16,"-")</f>
        <v>-</v>
      </c>
      <c r="H12" s="333">
        <f>IF(ISNUMBER('Parametry jízdy vlaku'!H16),'Parametry jízdy vlaku'!H16,"-")</f>
        <v>1641.8430000000003</v>
      </c>
      <c r="I12" s="333">
        <f>IF(ISNUMBER('Parametry jízdy vlaku'!I16),'Parametry jízdy vlaku'!I16,"-")</f>
        <v>3283.6860000000006</v>
      </c>
      <c r="J12" s="333" t="str">
        <f>IF(ISNUMBER('Parametry jízdy vlaku'!J16),'Parametry jízdy vlaku'!J16,"-")</f>
        <v>-</v>
      </c>
      <c r="K12" s="333">
        <f>IF(ISNUMBER('Parametry jízdy vlaku'!K16),'Parametry jízdy vlaku'!K16,"-")</f>
        <v>1493.7552000000001</v>
      </c>
      <c r="L12" s="333">
        <f>IF(ISNUMBER('Parametry jízdy vlaku'!L16),'Parametry jízdy vlaku'!L16,"-")</f>
        <v>772.63200000000018</v>
      </c>
      <c r="M12" s="333" t="str">
        <f>IF(ISNUMBER('Parametry jízdy vlaku'!M16),'Parametry jízdy vlaku'!M16,"-")</f>
        <v>-</v>
      </c>
      <c r="N12" s="333" t="str">
        <f>IF(ISNUMBER('Parametry jízdy vlaku'!N16),'Parametry jízdy vlaku'!N16,"-")</f>
        <v>-</v>
      </c>
      <c r="O12" s="333" t="str">
        <f>IF(ISNUMBER('Parametry jízdy vlaku'!O16),'Parametry jízdy vlaku'!O16,"-")</f>
        <v>-</v>
      </c>
      <c r="P12" s="333" t="str">
        <f>IF(ISNUMBER('Parametry jízdy vlaku'!P16),'Parametry jízdy vlaku'!P16,"-")</f>
        <v>-</v>
      </c>
      <c r="Q12" s="333" t="str">
        <f>IF(ISNUMBER('Parametry jízdy vlaku'!Q16),'Parametry jízdy vlaku'!Q16,"-")</f>
        <v>-</v>
      </c>
      <c r="R12" s="333" t="str">
        <f>IF(ISNUMBER('Parametry jízdy vlaku'!R16),'Parametry jízdy vlaku'!R16,"-")</f>
        <v>-</v>
      </c>
      <c r="S12" s="333" t="str">
        <f>IF(ISNUMBER('Parametry jízdy vlaku'!S16),'Parametry jízdy vlaku'!S16,"-")</f>
        <v>-</v>
      </c>
      <c r="T12" s="333" t="str">
        <f>IF(ISNUMBER('Parametry jízdy vlaku'!T16),'Parametry jízdy vlaku'!T16,"-")</f>
        <v>-</v>
      </c>
      <c r="U12" s="333" t="str">
        <f>IF(ISNUMBER('Parametry jízdy vlaku'!U16),'Parametry jízdy vlaku'!U16,"-")</f>
        <v>-</v>
      </c>
      <c r="V12" s="333" t="str">
        <f>IF(ISNUMBER('Parametry jízdy vlaku'!V16),'Parametry jízdy vlaku'!V16,"-")</f>
        <v>-</v>
      </c>
      <c r="W12" s="333" t="str">
        <f>IF(ISNUMBER('Parametry jízdy vlaku'!W16),'Parametry jízdy vlaku'!W16,"-")</f>
        <v>-</v>
      </c>
      <c r="X12" s="334" t="str">
        <f>IF(ISNUMBER('Parametry jízdy vlaku'!X16),'Parametry jízdy vlaku'!X16,"-")</f>
        <v>-</v>
      </c>
    </row>
    <row r="13" spans="1:24" ht="13.8" thickBot="1" x14ac:dyDescent="0.3">
      <c r="B13" s="323" t="s">
        <v>129</v>
      </c>
      <c r="C13" s="211"/>
      <c r="D13" s="324" t="s">
        <v>138</v>
      </c>
      <c r="E13" s="335">
        <f>IF(ISNUMBER('Parametry jízdy vlaku'!E17),'Parametry jízdy vlaku'!E17,"-")</f>
        <v>12.877200000000004</v>
      </c>
      <c r="F13" s="335">
        <f>IF(ISNUMBER('Parametry jízdy vlaku'!F17),'Parametry jízdy vlaku'!F17,"-")</f>
        <v>10.005584400000002</v>
      </c>
      <c r="G13" s="335" t="str">
        <f>IF(ISNUMBER('Parametry jízdy vlaku'!G17),'Parametry jízdy vlaku'!G17,"-")</f>
        <v>-</v>
      </c>
      <c r="H13" s="335">
        <f>IF(ISNUMBER('Parametry jízdy vlaku'!H17),'Parametry jízdy vlaku'!H17,"-")</f>
        <v>27.364050000000006</v>
      </c>
      <c r="I13" s="335">
        <f>IF(ISNUMBER('Parametry jízdy vlaku'!I17),'Parametry jízdy vlaku'!I17,"-")</f>
        <v>54.728100000000012</v>
      </c>
      <c r="J13" s="335" t="str">
        <f>IF(ISNUMBER('Parametry jízdy vlaku'!J17),'Parametry jízdy vlaku'!J17,"-")</f>
        <v>-</v>
      </c>
      <c r="K13" s="335">
        <f>IF(ISNUMBER('Parametry jízdy vlaku'!K17),'Parametry jízdy vlaku'!K17,"-")</f>
        <v>12.8772</v>
      </c>
      <c r="L13" s="335">
        <f>IF(ISNUMBER('Parametry jízdy vlaku'!L17),'Parametry jízdy vlaku'!L17,"-")</f>
        <v>12.877200000000004</v>
      </c>
      <c r="M13" s="335" t="str">
        <f>IF(ISNUMBER('Parametry jízdy vlaku'!M17),'Parametry jízdy vlaku'!M17,"-")</f>
        <v>-</v>
      </c>
      <c r="N13" s="335" t="str">
        <f>IF(ISNUMBER('Parametry jízdy vlaku'!N17),'Parametry jízdy vlaku'!N17,"-")</f>
        <v>-</v>
      </c>
      <c r="O13" s="335" t="str">
        <f>IF(ISNUMBER('Parametry jízdy vlaku'!O17),'Parametry jízdy vlaku'!O17,"-")</f>
        <v>-</v>
      </c>
      <c r="P13" s="335" t="str">
        <f>IF(ISNUMBER('Parametry jízdy vlaku'!P17),'Parametry jízdy vlaku'!P17,"-")</f>
        <v>-</v>
      </c>
      <c r="Q13" s="335" t="str">
        <f>IF(ISNUMBER('Parametry jízdy vlaku'!Q17),'Parametry jízdy vlaku'!Q17,"-")</f>
        <v>-</v>
      </c>
      <c r="R13" s="335" t="str">
        <f>IF(ISNUMBER('Parametry jízdy vlaku'!R17),'Parametry jízdy vlaku'!R17,"-")</f>
        <v>-</v>
      </c>
      <c r="S13" s="335" t="str">
        <f>IF(ISNUMBER('Parametry jízdy vlaku'!S17),'Parametry jízdy vlaku'!S17,"-")</f>
        <v>-</v>
      </c>
      <c r="T13" s="335" t="str">
        <f>IF(ISNUMBER('Parametry jízdy vlaku'!T17),'Parametry jízdy vlaku'!T17,"-")</f>
        <v>-</v>
      </c>
      <c r="U13" s="335" t="str">
        <f>IF(ISNUMBER('Parametry jízdy vlaku'!U17),'Parametry jízdy vlaku'!U17,"-")</f>
        <v>-</v>
      </c>
      <c r="V13" s="335" t="str">
        <f>IF(ISNUMBER('Parametry jízdy vlaku'!V17),'Parametry jízdy vlaku'!V17,"-")</f>
        <v>-</v>
      </c>
      <c r="W13" s="335" t="str">
        <f>IF(ISNUMBER('Parametry jízdy vlaku'!W17),'Parametry jízdy vlaku'!W17,"-")</f>
        <v>-</v>
      </c>
      <c r="X13" s="326" t="str">
        <f>IF(ISNUMBER('Parametry jízdy vlaku'!X17),'Parametry jízdy vlaku'!X17,"-")</f>
        <v>-</v>
      </c>
    </row>
    <row r="15" spans="1:24" ht="13.8" thickBot="1" x14ac:dyDescent="0.3">
      <c r="B15" s="22" t="s">
        <v>265</v>
      </c>
    </row>
    <row r="16" spans="1:24" ht="15.75" customHeight="1" thickBot="1" x14ac:dyDescent="0.3">
      <c r="B16" s="514" t="s">
        <v>205</v>
      </c>
      <c r="C16" s="515"/>
      <c r="D16" s="515"/>
      <c r="E16" s="336" t="str">
        <f>E4</f>
        <v>S9, S10</v>
      </c>
      <c r="F16" s="336" t="str">
        <f t="shared" ref="F16:X16" si="1">F4</f>
        <v>S1</v>
      </c>
      <c r="G16" s="336" t="str">
        <f t="shared" si="1"/>
        <v>---</v>
      </c>
      <c r="H16" s="336">
        <f t="shared" si="1"/>
        <v>4</v>
      </c>
      <c r="I16" s="336">
        <f t="shared" si="1"/>
        <v>5</v>
      </c>
      <c r="J16" s="336" t="str">
        <f t="shared" si="1"/>
        <v>---</v>
      </c>
      <c r="K16" s="336" t="str">
        <f t="shared" si="1"/>
        <v>R27</v>
      </c>
      <c r="L16" s="336" t="str">
        <f t="shared" si="1"/>
        <v>R61</v>
      </c>
      <c r="M16" s="336" t="str">
        <f t="shared" si="1"/>
        <v>---</v>
      </c>
      <c r="N16" s="336" t="str">
        <f t="shared" si="1"/>
        <v>---</v>
      </c>
      <c r="O16" s="336" t="str">
        <f t="shared" si="1"/>
        <v>---</v>
      </c>
      <c r="P16" s="336" t="str">
        <f t="shared" si="1"/>
        <v>---</v>
      </c>
      <c r="Q16" s="336" t="str">
        <f t="shared" si="1"/>
        <v>---</v>
      </c>
      <c r="R16" s="336" t="str">
        <f t="shared" si="1"/>
        <v>---</v>
      </c>
      <c r="S16" s="336" t="str">
        <f t="shared" si="1"/>
        <v>---</v>
      </c>
      <c r="T16" s="336" t="str">
        <f t="shared" si="1"/>
        <v>---</v>
      </c>
      <c r="U16" s="336" t="str">
        <f t="shared" si="1"/>
        <v>---</v>
      </c>
      <c r="V16" s="336" t="str">
        <f t="shared" si="1"/>
        <v>---</v>
      </c>
      <c r="W16" s="336" t="str">
        <f t="shared" si="1"/>
        <v>---</v>
      </c>
      <c r="X16" s="337" t="str">
        <f t="shared" si="1"/>
        <v>---</v>
      </c>
    </row>
    <row r="17" spans="2:24" ht="13.8" x14ac:dyDescent="0.25">
      <c r="B17" s="338" t="s">
        <v>0</v>
      </c>
      <c r="C17" s="339"/>
      <c r="D17" s="340" t="s">
        <v>135</v>
      </c>
      <c r="E17" s="333">
        <f>IF('Pořízení a provozuschopnost ŽKV'!E47&gt;0,'Pořízení a provozuschopnost ŽKV'!E47,"-")</f>
        <v>1746.5753424657553</v>
      </c>
      <c r="F17" s="333">
        <f>IF('Pořízení a provozuschopnost ŽKV'!F47&gt;0,'Pořízení a provozuschopnost ŽKV'!F47,"-")</f>
        <v>1233.6778018104621</v>
      </c>
      <c r="G17" s="333" t="str">
        <f>IF('Pořízení a provozuschopnost ŽKV'!G47&gt;0,'Pořízení a provozuschopnost ŽKV'!G47,"-")</f>
        <v>-</v>
      </c>
      <c r="H17" s="333">
        <f>IF('Pořízení a provozuschopnost ŽKV'!H47&gt;0,'Pořízení a provozuschopnost ŽKV'!H47,"-")</f>
        <v>1201.7349779538354</v>
      </c>
      <c r="I17" s="333">
        <f>IF('Pořízení a provozuschopnost ŽKV'!I47&gt;0,'Pořízení a provozuschopnost ŽKV'!I47,"-")</f>
        <v>1937.3776908023483</v>
      </c>
      <c r="J17" s="333" t="str">
        <f>IF('Pořízení a provozuschopnost ŽKV'!J47&gt;0,'Pořízení a provozuschopnost ŽKV'!J47,"-")</f>
        <v>-</v>
      </c>
      <c r="K17" s="333">
        <f>IF('Pořízení a provozuschopnost ŽKV'!K47&gt;0,'Pořízení a provozuschopnost ŽKV'!K47,"-")</f>
        <v>1746.5753424657553</v>
      </c>
      <c r="L17" s="333">
        <f>IF('Pořízení a provozuschopnost ŽKV'!L47&gt;0,'Pořízení a provozuschopnost ŽKV'!L47,"-")</f>
        <v>1746.5753424657553</v>
      </c>
      <c r="M17" s="333" t="str">
        <f>IF('Pořízení a provozuschopnost ŽKV'!M47&gt;0,'Pořízení a provozuschopnost ŽKV'!M47,"-")</f>
        <v>-</v>
      </c>
      <c r="N17" s="333" t="str">
        <f>IF('Pořízení a provozuschopnost ŽKV'!N47&gt;0,'Pořízení a provozuschopnost ŽKV'!N47,"-")</f>
        <v>-</v>
      </c>
      <c r="O17" s="333" t="str">
        <f>IF('Pořízení a provozuschopnost ŽKV'!O47&gt;0,'Pořízení a provozuschopnost ŽKV'!O47,"-")</f>
        <v>-</v>
      </c>
      <c r="P17" s="333" t="str">
        <f>IF('Pořízení a provozuschopnost ŽKV'!P47&gt;0,'Pořízení a provozuschopnost ŽKV'!P47,"-")</f>
        <v>-</v>
      </c>
      <c r="Q17" s="333" t="str">
        <f>IF('Pořízení a provozuschopnost ŽKV'!Q47&gt;0,'Pořízení a provozuschopnost ŽKV'!Q47,"-")</f>
        <v>-</v>
      </c>
      <c r="R17" s="333" t="str">
        <f>IF('Pořízení a provozuschopnost ŽKV'!R47&gt;0,'Pořízení a provozuschopnost ŽKV'!R47,"-")</f>
        <v>-</v>
      </c>
      <c r="S17" s="333" t="str">
        <f>IF('Pořízení a provozuschopnost ŽKV'!S47&gt;0,'Pořízení a provozuschopnost ŽKV'!S47,"-")</f>
        <v>-</v>
      </c>
      <c r="T17" s="333" t="str">
        <f>IF('Pořízení a provozuschopnost ŽKV'!T47&gt;0,'Pořízení a provozuschopnost ŽKV'!T47,"-")</f>
        <v>-</v>
      </c>
      <c r="U17" s="333" t="str">
        <f>IF('Pořízení a provozuschopnost ŽKV'!U47&gt;0,'Pořízení a provozuschopnost ŽKV'!U47,"-")</f>
        <v>-</v>
      </c>
      <c r="V17" s="333" t="str">
        <f>IF('Pořízení a provozuschopnost ŽKV'!V47&gt;0,'Pořízení a provozuschopnost ŽKV'!V47,"-")</f>
        <v>-</v>
      </c>
      <c r="W17" s="333" t="str">
        <f>IF('Pořízení a provozuschopnost ŽKV'!W47&gt;0,'Pořízení a provozuschopnost ŽKV'!W47,"-")</f>
        <v>-</v>
      </c>
      <c r="X17" s="334" t="str">
        <f>IF('Pořízení a provozuschopnost ŽKV'!X47&gt;0,'Pořízení a provozuschopnost ŽKV'!X47,"-")</f>
        <v>-</v>
      </c>
    </row>
    <row r="18" spans="2:24" ht="13.8" x14ac:dyDescent="0.25">
      <c r="B18" s="341" t="s">
        <v>137</v>
      </c>
      <c r="C18" s="260"/>
      <c r="D18" s="64" t="s">
        <v>135</v>
      </c>
      <c r="E18" s="342">
        <f>IF('Pořízení a provozuschopnost ŽKV'!E46&gt;0,'Pořízení a provozuschopnost ŽKV'!E46,"-")</f>
        <v>1571.9178082191795</v>
      </c>
      <c r="F18" s="342">
        <f>IF('Pořízení a provozuschopnost ŽKV'!F46&gt;0,'Pořízení a provozuschopnost ŽKV'!F46,"-")</f>
        <v>1110.3100216294158</v>
      </c>
      <c r="G18" s="342" t="str">
        <f>IF('Pořízení a provozuschopnost ŽKV'!G46&gt;0,'Pořízení a provozuschopnost ŽKV'!G46,"-")</f>
        <v>-</v>
      </c>
      <c r="H18" s="342">
        <f>IF('Pořízení a provozuschopnost ŽKV'!H46&gt;0,'Pořízení a provozuschopnost ŽKV'!H46,"-")</f>
        <v>1081.5614801584516</v>
      </c>
      <c r="I18" s="342">
        <f>IF('Pořízení a provozuschopnost ŽKV'!I46&gt;0,'Pořízení a provozuschopnost ŽKV'!I46,"-")</f>
        <v>1743.6399217221137</v>
      </c>
      <c r="J18" s="342" t="str">
        <f>IF('Pořízení a provozuschopnost ŽKV'!J46&gt;0,'Pořízení a provozuschopnost ŽKV'!J46,"-")</f>
        <v>-</v>
      </c>
      <c r="K18" s="342">
        <f>IF('Pořízení a provozuschopnost ŽKV'!K46&gt;0,'Pořízení a provozuschopnost ŽKV'!K46,"-")</f>
        <v>1571.9178082191795</v>
      </c>
      <c r="L18" s="342">
        <f>IF('Pořízení a provozuschopnost ŽKV'!L46&gt;0,'Pořízení a provozuschopnost ŽKV'!L46,"-")</f>
        <v>1571.9178082191795</v>
      </c>
      <c r="M18" s="342" t="str">
        <f>IF('Pořízení a provozuschopnost ŽKV'!M46&gt;0,'Pořízení a provozuschopnost ŽKV'!M46,"-")</f>
        <v>-</v>
      </c>
      <c r="N18" s="342" t="str">
        <f>IF('Pořízení a provozuschopnost ŽKV'!N46&gt;0,'Pořízení a provozuschopnost ŽKV'!N46,"-")</f>
        <v>-</v>
      </c>
      <c r="O18" s="342" t="str">
        <f>IF('Pořízení a provozuschopnost ŽKV'!O46&gt;0,'Pořízení a provozuschopnost ŽKV'!O46,"-")</f>
        <v>-</v>
      </c>
      <c r="P18" s="342" t="str">
        <f>IF('Pořízení a provozuschopnost ŽKV'!P46&gt;0,'Pořízení a provozuschopnost ŽKV'!P46,"-")</f>
        <v>-</v>
      </c>
      <c r="Q18" s="342" t="str">
        <f>IF('Pořízení a provozuschopnost ŽKV'!Q46&gt;0,'Pořízení a provozuschopnost ŽKV'!Q46,"-")</f>
        <v>-</v>
      </c>
      <c r="R18" s="342" t="str">
        <f>IF('Pořízení a provozuschopnost ŽKV'!R46&gt;0,'Pořízení a provozuschopnost ŽKV'!R46,"-")</f>
        <v>-</v>
      </c>
      <c r="S18" s="342" t="str">
        <f>IF('Pořízení a provozuschopnost ŽKV'!S46&gt;0,'Pořízení a provozuschopnost ŽKV'!S46,"-")</f>
        <v>-</v>
      </c>
      <c r="T18" s="342" t="str">
        <f>IF('Pořízení a provozuschopnost ŽKV'!T46&gt;0,'Pořízení a provozuschopnost ŽKV'!T46,"-")</f>
        <v>-</v>
      </c>
      <c r="U18" s="342" t="str">
        <f>IF('Pořízení a provozuschopnost ŽKV'!U46&gt;0,'Pořízení a provozuschopnost ŽKV'!U46,"-")</f>
        <v>-</v>
      </c>
      <c r="V18" s="342" t="str">
        <f>IF('Pořízení a provozuschopnost ŽKV'!V46&gt;0,'Pořízení a provozuschopnost ŽKV'!V46,"-")</f>
        <v>-</v>
      </c>
      <c r="W18" s="342" t="str">
        <f>IF('Pořízení a provozuschopnost ŽKV'!W46&gt;0,'Pořízení a provozuschopnost ŽKV'!W46,"-")</f>
        <v>-</v>
      </c>
      <c r="X18" s="343" t="str">
        <f>IF('Pořízení a provozuschopnost ŽKV'!X46&gt;0,'Pořízení a provozuschopnost ŽKV'!X46,"-")</f>
        <v>-</v>
      </c>
    </row>
    <row r="19" spans="2:24" ht="13.8" x14ac:dyDescent="0.25">
      <c r="B19" s="341" t="s">
        <v>136</v>
      </c>
      <c r="C19" s="260"/>
      <c r="D19" s="64" t="s">
        <v>138</v>
      </c>
      <c r="E19" s="342">
        <f>IF(ISNUMBER('Parametry jízdy vlaku'!E33/'Parametry jízdy vlaku'!E30),'Parametry jízdy vlaku'!E33/'Parametry jízdy vlaku'!E30,"-")</f>
        <v>41.327173087709625</v>
      </c>
      <c r="F19" s="342">
        <f>IF(ISNUMBER('Parametry jízdy vlaku'!F33/'Parametry jízdy vlaku'!F30),'Parametry jízdy vlaku'!F33/'Parametry jízdy vlaku'!F30,"-")</f>
        <v>25.515656984317499</v>
      </c>
      <c r="G19" s="342" t="str">
        <f>IF(ISNUMBER('Parametry jízdy vlaku'!G33/'Parametry jízdy vlaku'!G30),'Parametry jízdy vlaku'!G33/'Parametry jízdy vlaku'!G30,"-")</f>
        <v>-</v>
      </c>
      <c r="H19" s="342">
        <f>IF(ISNUMBER('Parametry jízdy vlaku'!H33/'Parametry jízdy vlaku'!H30),'Parametry jízdy vlaku'!H33/'Parametry jízdy vlaku'!H30,"-")</f>
        <v>179.51250240000005</v>
      </c>
      <c r="I19" s="342">
        <f>IF(ISNUMBER('Parametry jízdy vlaku'!I33/'Parametry jízdy vlaku'!I30),'Parametry jízdy vlaku'!I33/'Parametry jízdy vlaku'!I30,"-")</f>
        <v>83.762438759999995</v>
      </c>
      <c r="J19" s="342" t="str">
        <f>IF(ISNUMBER('Parametry jízdy vlaku'!J33/'Parametry jízdy vlaku'!J30),'Parametry jízdy vlaku'!J33/'Parametry jízdy vlaku'!J30,"-")</f>
        <v>-</v>
      </c>
      <c r="K19" s="342">
        <f>IF(ISNUMBER('Parametry jízdy vlaku'!K33/'Parametry jízdy vlaku'!K30),'Parametry jízdy vlaku'!K33/'Parametry jízdy vlaku'!K30,"-")</f>
        <v>38.533494720475176</v>
      </c>
      <c r="L19" s="342">
        <f>IF(ISNUMBER('Parametry jízdy vlaku'!L33/'Parametry jízdy vlaku'!L30),'Parametry jízdy vlaku'!L33/'Parametry jízdy vlaku'!L30,"-")</f>
        <v>42.386844192522702</v>
      </c>
      <c r="M19" s="342" t="str">
        <f>IF(ISNUMBER('Parametry jízdy vlaku'!M33/'Parametry jízdy vlaku'!M30),'Parametry jízdy vlaku'!M33/'Parametry jízdy vlaku'!M30,"-")</f>
        <v>-</v>
      </c>
      <c r="N19" s="342" t="str">
        <f>IF(ISNUMBER('Parametry jízdy vlaku'!N33/'Parametry jízdy vlaku'!N30),'Parametry jízdy vlaku'!N33/'Parametry jízdy vlaku'!N30,"-")</f>
        <v>-</v>
      </c>
      <c r="O19" s="342" t="str">
        <f>IF(ISNUMBER('Parametry jízdy vlaku'!O33/'Parametry jízdy vlaku'!O30),'Parametry jízdy vlaku'!O33/'Parametry jízdy vlaku'!O30,"-")</f>
        <v>-</v>
      </c>
      <c r="P19" s="342" t="str">
        <f>IF(ISNUMBER('Parametry jízdy vlaku'!P33/'Parametry jízdy vlaku'!P30),'Parametry jízdy vlaku'!P33/'Parametry jízdy vlaku'!P30,"-")</f>
        <v>-</v>
      </c>
      <c r="Q19" s="342" t="str">
        <f>IF(ISNUMBER('Parametry jízdy vlaku'!Q33/'Parametry jízdy vlaku'!Q30),'Parametry jízdy vlaku'!Q33/'Parametry jízdy vlaku'!Q30,"-")</f>
        <v>-</v>
      </c>
      <c r="R19" s="342" t="str">
        <f>IF(ISNUMBER('Parametry jízdy vlaku'!R33/'Parametry jízdy vlaku'!R30),'Parametry jízdy vlaku'!R33/'Parametry jízdy vlaku'!R30,"-")</f>
        <v>-</v>
      </c>
      <c r="S19" s="342" t="str">
        <f>IF(ISNUMBER('Parametry jízdy vlaku'!S33/'Parametry jízdy vlaku'!S30),'Parametry jízdy vlaku'!S33/'Parametry jízdy vlaku'!S30,"-")</f>
        <v>-</v>
      </c>
      <c r="T19" s="342" t="str">
        <f>IF(ISNUMBER('Parametry jízdy vlaku'!T33/'Parametry jízdy vlaku'!T30),'Parametry jízdy vlaku'!T33/'Parametry jízdy vlaku'!T30,"-")</f>
        <v>-</v>
      </c>
      <c r="U19" s="342" t="str">
        <f>IF(ISNUMBER('Parametry jízdy vlaku'!U33/'Parametry jízdy vlaku'!U30),'Parametry jízdy vlaku'!U33/'Parametry jízdy vlaku'!U30,"-")</f>
        <v>-</v>
      </c>
      <c r="V19" s="342" t="str">
        <f>IF(ISNUMBER('Parametry jízdy vlaku'!V33/'Parametry jízdy vlaku'!V30),'Parametry jízdy vlaku'!V33/'Parametry jízdy vlaku'!V30,"-")</f>
        <v>-</v>
      </c>
      <c r="W19" s="342" t="str">
        <f>IF(ISNUMBER('Parametry jízdy vlaku'!W33/'Parametry jízdy vlaku'!W30),'Parametry jízdy vlaku'!W33/'Parametry jízdy vlaku'!W30,"-")</f>
        <v>-</v>
      </c>
      <c r="X19" s="343" t="str">
        <f>IF(ISNUMBER('Parametry jízdy vlaku'!X33/'Parametry jízdy vlaku'!X30),'Parametry jízdy vlaku'!X33/'Parametry jízdy vlaku'!X30,"-")</f>
        <v>-</v>
      </c>
    </row>
    <row r="20" spans="2:24" ht="13.8" x14ac:dyDescent="0.25">
      <c r="B20" s="341" t="s">
        <v>43</v>
      </c>
      <c r="C20" s="260"/>
      <c r="D20" s="64" t="s">
        <v>135</v>
      </c>
      <c r="E20" s="342">
        <f>IF('Obsazení vlaku personálem'!D20&gt;0,'Obsazení vlaku personálem'!D20,"-")</f>
        <v>1187.5670502904286</v>
      </c>
      <c r="F20" s="342">
        <f>IF('Obsazení vlaku personálem'!E20&gt;0,'Obsazení vlaku personálem'!E20,"-")</f>
        <v>1187.5670502904286</v>
      </c>
      <c r="G20" s="342" t="str">
        <f>IF('Obsazení vlaku personálem'!F20&gt;0,'Obsazení vlaku personálem'!F20,"-")</f>
        <v>-</v>
      </c>
      <c r="H20" s="342">
        <f>IF('Obsazení vlaku personálem'!G20&gt;0,'Obsazení vlaku personálem'!G20,"-")</f>
        <v>1634.513159488286</v>
      </c>
      <c r="I20" s="342">
        <f>IF('Obsazení vlaku personálem'!H20&gt;0,'Obsazení vlaku personálem'!H20,"-")</f>
        <v>944.16490904425746</v>
      </c>
      <c r="J20" s="342" t="str">
        <f>IF('Obsazení vlaku personálem'!I20&gt;0,'Obsazení vlaku personálem'!I20,"-")</f>
        <v>-</v>
      </c>
      <c r="K20" s="342">
        <f>IF('Obsazení vlaku personálem'!J20&gt;0,'Obsazení vlaku personálem'!J20,"-")</f>
        <v>1187.5670502904286</v>
      </c>
      <c r="L20" s="342">
        <f>IF('Obsazení vlaku personálem'!K20&gt;0,'Obsazení vlaku personálem'!K20,"-")</f>
        <v>1187.5670502904286</v>
      </c>
      <c r="M20" s="342" t="str">
        <f>IF('Obsazení vlaku personálem'!L20&gt;0,'Obsazení vlaku personálem'!L20,"-")</f>
        <v>-</v>
      </c>
      <c r="N20" s="342" t="str">
        <f>IF('Obsazení vlaku personálem'!M20&gt;0,'Obsazení vlaku personálem'!M20,"-")</f>
        <v>-</v>
      </c>
      <c r="O20" s="342" t="str">
        <f>IF('Obsazení vlaku personálem'!N20&gt;0,'Obsazení vlaku personálem'!N20,"-")</f>
        <v>-</v>
      </c>
      <c r="P20" s="342" t="str">
        <f>IF('Obsazení vlaku personálem'!O20&gt;0,'Obsazení vlaku personálem'!O20,"-")</f>
        <v>-</v>
      </c>
      <c r="Q20" s="342" t="str">
        <f>IF('Obsazení vlaku personálem'!P20&gt;0,'Obsazení vlaku personálem'!P20,"-")</f>
        <v>-</v>
      </c>
      <c r="R20" s="342" t="str">
        <f>IF('Obsazení vlaku personálem'!Q20&gt;0,'Obsazení vlaku personálem'!Q20,"-")</f>
        <v>-</v>
      </c>
      <c r="S20" s="342" t="str">
        <f>IF('Obsazení vlaku personálem'!R20&gt;0,'Obsazení vlaku personálem'!R20,"-")</f>
        <v>-</v>
      </c>
      <c r="T20" s="342" t="str">
        <f>IF('Obsazení vlaku personálem'!S20&gt;0,'Obsazení vlaku personálem'!S20,"-")</f>
        <v>-</v>
      </c>
      <c r="U20" s="342" t="str">
        <f>IF('Obsazení vlaku personálem'!T20&gt;0,'Obsazení vlaku personálem'!T20,"-")</f>
        <v>-</v>
      </c>
      <c r="V20" s="342" t="str">
        <f>IF('Obsazení vlaku personálem'!U20&gt;0,'Obsazení vlaku personálem'!U20,"-")</f>
        <v>-</v>
      </c>
      <c r="W20" s="342" t="str">
        <f>IF('Obsazení vlaku personálem'!V20&gt;0,'Obsazení vlaku personálem'!V20,"-")</f>
        <v>-</v>
      </c>
      <c r="X20" s="343" t="str">
        <f>IF('Obsazení vlaku personálem'!W20&gt;0,'Obsazení vlaku personálem'!W20,"-")</f>
        <v>-</v>
      </c>
    </row>
    <row r="21" spans="2:24" ht="14.4" thickBot="1" x14ac:dyDescent="0.3">
      <c r="B21" s="344" t="s">
        <v>46</v>
      </c>
      <c r="C21" s="345">
        <v>75</v>
      </c>
      <c r="D21" s="292" t="s">
        <v>135</v>
      </c>
      <c r="E21" s="346">
        <f>IF(E20="-","-",E20*$C$21/100)</f>
        <v>890.67528771782145</v>
      </c>
      <c r="F21" s="346">
        <f t="shared" ref="F21:K21" si="2">IF(F20="-","-",F20*$C$21/100)</f>
        <v>890.67528771782145</v>
      </c>
      <c r="G21" s="346" t="str">
        <f t="shared" si="2"/>
        <v>-</v>
      </c>
      <c r="H21" s="346">
        <f t="shared" si="2"/>
        <v>1225.8848696162145</v>
      </c>
      <c r="I21" s="346">
        <f t="shared" si="2"/>
        <v>708.12368178319298</v>
      </c>
      <c r="J21" s="346" t="str">
        <f t="shared" si="2"/>
        <v>-</v>
      </c>
      <c r="K21" s="346">
        <f t="shared" si="2"/>
        <v>890.67528771782145</v>
      </c>
      <c r="L21" s="346">
        <f t="shared" ref="L21:X21" si="3">IF(L20="-","-",L20*$C$21/100)</f>
        <v>890.67528771782145</v>
      </c>
      <c r="M21" s="346" t="str">
        <f t="shared" si="3"/>
        <v>-</v>
      </c>
      <c r="N21" s="346" t="str">
        <f t="shared" si="3"/>
        <v>-</v>
      </c>
      <c r="O21" s="346" t="str">
        <f t="shared" si="3"/>
        <v>-</v>
      </c>
      <c r="P21" s="346" t="str">
        <f t="shared" si="3"/>
        <v>-</v>
      </c>
      <c r="Q21" s="346" t="str">
        <f t="shared" si="3"/>
        <v>-</v>
      </c>
      <c r="R21" s="346" t="str">
        <f t="shared" si="3"/>
        <v>-</v>
      </c>
      <c r="S21" s="346" t="str">
        <f t="shared" si="3"/>
        <v>-</v>
      </c>
      <c r="T21" s="346" t="str">
        <f t="shared" si="3"/>
        <v>-</v>
      </c>
      <c r="U21" s="346" t="str">
        <f t="shared" si="3"/>
        <v>-</v>
      </c>
      <c r="V21" s="346" t="str">
        <f t="shared" si="3"/>
        <v>-</v>
      </c>
      <c r="W21" s="346" t="str">
        <f t="shared" si="3"/>
        <v>-</v>
      </c>
      <c r="X21" s="347" t="str">
        <f t="shared" si="3"/>
        <v>-</v>
      </c>
    </row>
    <row r="22" spans="2:24" ht="13.8" x14ac:dyDescent="0.25">
      <c r="B22" s="348" t="s">
        <v>285</v>
      </c>
      <c r="C22" s="349"/>
      <c r="D22" s="276" t="s">
        <v>135</v>
      </c>
      <c r="E22" s="350">
        <f t="shared" ref="E22:X22" si="4">IF(ISNUMBER(E17+E18+E20+E21),(E17+E18+E20+E21),"-")</f>
        <v>5396.7354886931853</v>
      </c>
      <c r="F22" s="350">
        <f t="shared" si="4"/>
        <v>4422.2301614481275</v>
      </c>
      <c r="G22" s="350" t="str">
        <f t="shared" si="4"/>
        <v>-</v>
      </c>
      <c r="H22" s="350">
        <f t="shared" si="4"/>
        <v>5143.6944872167878</v>
      </c>
      <c r="I22" s="350">
        <f t="shared" si="4"/>
        <v>5333.3062033519127</v>
      </c>
      <c r="J22" s="350" t="str">
        <f t="shared" si="4"/>
        <v>-</v>
      </c>
      <c r="K22" s="350">
        <f t="shared" si="4"/>
        <v>5396.7354886931853</v>
      </c>
      <c r="L22" s="350">
        <f t="shared" si="4"/>
        <v>5396.7354886931853</v>
      </c>
      <c r="M22" s="350" t="str">
        <f t="shared" si="4"/>
        <v>-</v>
      </c>
      <c r="N22" s="350" t="str">
        <f t="shared" si="4"/>
        <v>-</v>
      </c>
      <c r="O22" s="350" t="str">
        <f t="shared" si="4"/>
        <v>-</v>
      </c>
      <c r="P22" s="350" t="str">
        <f t="shared" si="4"/>
        <v>-</v>
      </c>
      <c r="Q22" s="350" t="str">
        <f t="shared" si="4"/>
        <v>-</v>
      </c>
      <c r="R22" s="350" t="str">
        <f t="shared" si="4"/>
        <v>-</v>
      </c>
      <c r="S22" s="350" t="str">
        <f t="shared" si="4"/>
        <v>-</v>
      </c>
      <c r="T22" s="350" t="str">
        <f t="shared" si="4"/>
        <v>-</v>
      </c>
      <c r="U22" s="350" t="str">
        <f t="shared" si="4"/>
        <v>-</v>
      </c>
      <c r="V22" s="350" t="str">
        <f t="shared" si="4"/>
        <v>-</v>
      </c>
      <c r="W22" s="350" t="str">
        <f t="shared" si="4"/>
        <v>-</v>
      </c>
      <c r="X22" s="351" t="str">
        <f t="shared" si="4"/>
        <v>-</v>
      </c>
    </row>
    <row r="23" spans="2:24" ht="14.4" thickBot="1" x14ac:dyDescent="0.3">
      <c r="B23" s="352" t="s">
        <v>286</v>
      </c>
      <c r="C23" s="353"/>
      <c r="D23" s="354" t="s">
        <v>138</v>
      </c>
      <c r="E23" s="355">
        <f t="shared" ref="E23:X23" si="5">IF(ISNUMBER(E19),E19,"-")</f>
        <v>41.327173087709625</v>
      </c>
      <c r="F23" s="355">
        <f t="shared" si="5"/>
        <v>25.515656984317499</v>
      </c>
      <c r="G23" s="355" t="str">
        <f t="shared" si="5"/>
        <v>-</v>
      </c>
      <c r="H23" s="355">
        <f t="shared" si="5"/>
        <v>179.51250240000005</v>
      </c>
      <c r="I23" s="355">
        <f t="shared" si="5"/>
        <v>83.762438759999995</v>
      </c>
      <c r="J23" s="355" t="str">
        <f t="shared" si="5"/>
        <v>-</v>
      </c>
      <c r="K23" s="355">
        <f t="shared" si="5"/>
        <v>38.533494720475176</v>
      </c>
      <c r="L23" s="355">
        <f t="shared" si="5"/>
        <v>42.386844192522702</v>
      </c>
      <c r="M23" s="355" t="str">
        <f t="shared" si="5"/>
        <v>-</v>
      </c>
      <c r="N23" s="355" t="str">
        <f t="shared" si="5"/>
        <v>-</v>
      </c>
      <c r="O23" s="355" t="str">
        <f t="shared" si="5"/>
        <v>-</v>
      </c>
      <c r="P23" s="355" t="str">
        <f t="shared" si="5"/>
        <v>-</v>
      </c>
      <c r="Q23" s="355" t="str">
        <f t="shared" si="5"/>
        <v>-</v>
      </c>
      <c r="R23" s="355" t="str">
        <f t="shared" si="5"/>
        <v>-</v>
      </c>
      <c r="S23" s="355" t="str">
        <f t="shared" si="5"/>
        <v>-</v>
      </c>
      <c r="T23" s="355" t="str">
        <f t="shared" si="5"/>
        <v>-</v>
      </c>
      <c r="U23" s="355" t="str">
        <f t="shared" si="5"/>
        <v>-</v>
      </c>
      <c r="V23" s="355" t="str">
        <f t="shared" si="5"/>
        <v>-</v>
      </c>
      <c r="W23" s="355" t="str">
        <f t="shared" si="5"/>
        <v>-</v>
      </c>
      <c r="X23" s="356" t="str">
        <f t="shared" si="5"/>
        <v>-</v>
      </c>
    </row>
    <row r="24" spans="2:24" x14ac:dyDescent="0.25">
      <c r="B24" s="357"/>
      <c r="C24" s="357"/>
      <c r="D24" s="188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</row>
    <row r="25" spans="2:24" x14ac:dyDescent="0.25">
      <c r="B25" s="358" t="s">
        <v>317</v>
      </c>
      <c r="C25" s="359"/>
      <c r="D25" s="360"/>
      <c r="E25" s="361"/>
      <c r="F25" s="361"/>
      <c r="G25" s="361"/>
      <c r="H25" s="361"/>
      <c r="I25" s="361"/>
      <c r="J25" s="361"/>
      <c r="K25" s="361"/>
      <c r="L25" s="361"/>
      <c r="M25" s="361"/>
      <c r="N25" s="361"/>
      <c r="O25" s="361"/>
      <c r="P25" s="361"/>
      <c r="Q25" s="361"/>
      <c r="R25" s="359"/>
      <c r="S25" s="359"/>
      <c r="T25" s="359"/>
      <c r="U25" s="359"/>
      <c r="V25" s="359"/>
      <c r="W25" s="359"/>
      <c r="X25" s="359"/>
    </row>
    <row r="26" spans="2:24" x14ac:dyDescent="0.25">
      <c r="B26" s="357"/>
      <c r="C26" s="357"/>
      <c r="D26" s="188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</row>
    <row r="27" spans="2:24" ht="13.8" thickBot="1" x14ac:dyDescent="0.3">
      <c r="B27" s="22" t="s">
        <v>266</v>
      </c>
      <c r="C27" s="357"/>
      <c r="D27" s="188"/>
    </row>
    <row r="28" spans="2:24" ht="15.75" customHeight="1" thickBot="1" x14ac:dyDescent="0.3">
      <c r="B28" s="514" t="s">
        <v>206</v>
      </c>
      <c r="C28" s="515"/>
      <c r="D28" s="515"/>
      <c r="E28" s="327" t="str">
        <f t="shared" ref="E28:X28" si="6">E4</f>
        <v>S9, S10</v>
      </c>
      <c r="F28" s="328" t="str">
        <f t="shared" si="6"/>
        <v>S1</v>
      </c>
      <c r="G28" s="328" t="str">
        <f t="shared" si="6"/>
        <v>---</v>
      </c>
      <c r="H28" s="328">
        <f t="shared" si="6"/>
        <v>4</v>
      </c>
      <c r="I28" s="328">
        <f t="shared" si="6"/>
        <v>5</v>
      </c>
      <c r="J28" s="328" t="str">
        <f t="shared" si="6"/>
        <v>---</v>
      </c>
      <c r="K28" s="328" t="str">
        <f t="shared" si="6"/>
        <v>R27</v>
      </c>
      <c r="L28" s="328" t="str">
        <f t="shared" si="6"/>
        <v>R61</v>
      </c>
      <c r="M28" s="328" t="str">
        <f t="shared" si="6"/>
        <v>---</v>
      </c>
      <c r="N28" s="328" t="str">
        <f t="shared" si="6"/>
        <v>---</v>
      </c>
      <c r="O28" s="328" t="str">
        <f t="shared" si="6"/>
        <v>---</v>
      </c>
      <c r="P28" s="328" t="str">
        <f t="shared" si="6"/>
        <v>---</v>
      </c>
      <c r="Q28" s="328" t="str">
        <f t="shared" si="6"/>
        <v>---</v>
      </c>
      <c r="R28" s="328" t="str">
        <f t="shared" si="6"/>
        <v>---</v>
      </c>
      <c r="S28" s="328" t="str">
        <f t="shared" si="6"/>
        <v>---</v>
      </c>
      <c r="T28" s="328" t="str">
        <f t="shared" si="6"/>
        <v>---</v>
      </c>
      <c r="U28" s="328" t="str">
        <f t="shared" si="6"/>
        <v>---</v>
      </c>
      <c r="V28" s="328" t="str">
        <f t="shared" si="6"/>
        <v>---</v>
      </c>
      <c r="W28" s="328" t="str">
        <f t="shared" si="6"/>
        <v>---</v>
      </c>
      <c r="X28" s="329" t="str">
        <f t="shared" si="6"/>
        <v>---</v>
      </c>
    </row>
    <row r="29" spans="2:24" ht="13.8" x14ac:dyDescent="0.25">
      <c r="B29" s="338" t="s">
        <v>44</v>
      </c>
      <c r="C29" s="362">
        <v>15</v>
      </c>
      <c r="D29" s="340" t="s">
        <v>135</v>
      </c>
      <c r="E29" s="363">
        <f t="shared" ref="E29:X29" si="7">IF(ISNUMBER(((E23+E13)*E34+E22)*($C$29/100)),((E23+E13)*E34+E22)*($C$29/100),"-")</f>
        <v>809.51032330397777</v>
      </c>
      <c r="F29" s="363">
        <f t="shared" si="7"/>
        <v>663.33452421721915</v>
      </c>
      <c r="G29" s="363" t="str">
        <f t="shared" si="7"/>
        <v>-</v>
      </c>
      <c r="H29" s="363">
        <f t="shared" si="7"/>
        <v>771.5541730825181</v>
      </c>
      <c r="I29" s="363">
        <f t="shared" si="7"/>
        <v>799.9959305027869</v>
      </c>
      <c r="J29" s="363" t="str">
        <f t="shared" si="7"/>
        <v>-</v>
      </c>
      <c r="K29" s="363">
        <f t="shared" si="7"/>
        <v>809.51032330397777</v>
      </c>
      <c r="L29" s="363">
        <f t="shared" si="7"/>
        <v>809.51032330397777</v>
      </c>
      <c r="M29" s="363" t="str">
        <f t="shared" si="7"/>
        <v>-</v>
      </c>
      <c r="N29" s="363" t="str">
        <f t="shared" si="7"/>
        <v>-</v>
      </c>
      <c r="O29" s="363" t="str">
        <f t="shared" si="7"/>
        <v>-</v>
      </c>
      <c r="P29" s="363" t="str">
        <f t="shared" si="7"/>
        <v>-</v>
      </c>
      <c r="Q29" s="363" t="str">
        <f t="shared" si="7"/>
        <v>-</v>
      </c>
      <c r="R29" s="363" t="str">
        <f t="shared" si="7"/>
        <v>-</v>
      </c>
      <c r="S29" s="363" t="str">
        <f t="shared" si="7"/>
        <v>-</v>
      </c>
      <c r="T29" s="363" t="str">
        <f t="shared" si="7"/>
        <v>-</v>
      </c>
      <c r="U29" s="363" t="str">
        <f t="shared" si="7"/>
        <v>-</v>
      </c>
      <c r="V29" s="363" t="str">
        <f t="shared" si="7"/>
        <v>-</v>
      </c>
      <c r="W29" s="363" t="str">
        <f t="shared" si="7"/>
        <v>-</v>
      </c>
      <c r="X29" s="334" t="str">
        <f t="shared" si="7"/>
        <v>-</v>
      </c>
    </row>
    <row r="30" spans="2:24" ht="14.4" thickBot="1" x14ac:dyDescent="0.3">
      <c r="B30" s="364" t="s">
        <v>45</v>
      </c>
      <c r="C30" s="365">
        <v>5</v>
      </c>
      <c r="D30" s="324" t="s">
        <v>135</v>
      </c>
      <c r="E30" s="366">
        <f t="shared" ref="E30:X30" si="8">IF(ISNUMBER(((E23+E13)*E34+E22)*($C$30/100)),((E23+E13)*E34+E22)*($C$30/100),"-")</f>
        <v>269.83677443465928</v>
      </c>
      <c r="F30" s="366">
        <f t="shared" si="8"/>
        <v>221.11150807240639</v>
      </c>
      <c r="G30" s="366" t="str">
        <f t="shared" si="8"/>
        <v>-</v>
      </c>
      <c r="H30" s="366">
        <f t="shared" si="8"/>
        <v>257.18472436083943</v>
      </c>
      <c r="I30" s="366">
        <f t="shared" si="8"/>
        <v>266.66531016759563</v>
      </c>
      <c r="J30" s="366" t="str">
        <f t="shared" si="8"/>
        <v>-</v>
      </c>
      <c r="K30" s="366">
        <f t="shared" si="8"/>
        <v>269.83677443465928</v>
      </c>
      <c r="L30" s="366">
        <f t="shared" si="8"/>
        <v>269.83677443465928</v>
      </c>
      <c r="M30" s="366" t="str">
        <f t="shared" si="8"/>
        <v>-</v>
      </c>
      <c r="N30" s="366" t="str">
        <f t="shared" si="8"/>
        <v>-</v>
      </c>
      <c r="O30" s="366" t="str">
        <f t="shared" si="8"/>
        <v>-</v>
      </c>
      <c r="P30" s="366" t="str">
        <f t="shared" si="8"/>
        <v>-</v>
      </c>
      <c r="Q30" s="366" t="str">
        <f t="shared" si="8"/>
        <v>-</v>
      </c>
      <c r="R30" s="366" t="str">
        <f t="shared" si="8"/>
        <v>-</v>
      </c>
      <c r="S30" s="366" t="str">
        <f t="shared" si="8"/>
        <v>-</v>
      </c>
      <c r="T30" s="366" t="str">
        <f t="shared" si="8"/>
        <v>-</v>
      </c>
      <c r="U30" s="366" t="str">
        <f t="shared" si="8"/>
        <v>-</v>
      </c>
      <c r="V30" s="366" t="str">
        <f t="shared" si="8"/>
        <v>-</v>
      </c>
      <c r="W30" s="366" t="str">
        <f t="shared" si="8"/>
        <v>-</v>
      </c>
      <c r="X30" s="367" t="str">
        <f t="shared" si="8"/>
        <v>-</v>
      </c>
    </row>
    <row r="32" spans="2:24" ht="13.8" thickBot="1" x14ac:dyDescent="0.3">
      <c r="B32" s="22" t="s">
        <v>267</v>
      </c>
    </row>
    <row r="33" spans="2:24" ht="13.8" x14ac:dyDescent="0.25">
      <c r="B33" s="516" t="s">
        <v>41</v>
      </c>
      <c r="C33" s="517"/>
      <c r="D33" s="517"/>
      <c r="E33" s="368" t="str">
        <f t="shared" ref="E33:X33" si="9">E4</f>
        <v>S9, S10</v>
      </c>
      <c r="F33" s="369" t="str">
        <f t="shared" si="9"/>
        <v>S1</v>
      </c>
      <c r="G33" s="369" t="str">
        <f t="shared" si="9"/>
        <v>---</v>
      </c>
      <c r="H33" s="369">
        <f t="shared" si="9"/>
        <v>4</v>
      </c>
      <c r="I33" s="369">
        <f t="shared" si="9"/>
        <v>5</v>
      </c>
      <c r="J33" s="369" t="str">
        <f t="shared" si="9"/>
        <v>---</v>
      </c>
      <c r="K33" s="369" t="str">
        <f t="shared" si="9"/>
        <v>R27</v>
      </c>
      <c r="L33" s="369" t="str">
        <f t="shared" si="9"/>
        <v>R61</v>
      </c>
      <c r="M33" s="369" t="str">
        <f t="shared" si="9"/>
        <v>---</v>
      </c>
      <c r="N33" s="369" t="str">
        <f t="shared" si="9"/>
        <v>---</v>
      </c>
      <c r="O33" s="369" t="str">
        <f t="shared" si="9"/>
        <v>---</v>
      </c>
      <c r="P33" s="369" t="str">
        <f t="shared" si="9"/>
        <v>---</v>
      </c>
      <c r="Q33" s="369" t="str">
        <f t="shared" si="9"/>
        <v>---</v>
      </c>
      <c r="R33" s="369" t="str">
        <f t="shared" si="9"/>
        <v>---</v>
      </c>
      <c r="S33" s="369" t="str">
        <f t="shared" si="9"/>
        <v>---</v>
      </c>
      <c r="T33" s="369" t="str">
        <f t="shared" si="9"/>
        <v>---</v>
      </c>
      <c r="U33" s="369" t="str">
        <f t="shared" si="9"/>
        <v>---</v>
      </c>
      <c r="V33" s="369" t="str">
        <f t="shared" si="9"/>
        <v>---</v>
      </c>
      <c r="W33" s="369" t="str">
        <f t="shared" si="9"/>
        <v>---</v>
      </c>
      <c r="X33" s="370" t="str">
        <f t="shared" si="9"/>
        <v>---</v>
      </c>
    </row>
    <row r="34" spans="2:24" x14ac:dyDescent="0.25">
      <c r="B34" s="371" t="s">
        <v>313</v>
      </c>
      <c r="C34" s="264"/>
      <c r="D34" s="372" t="s">
        <v>139</v>
      </c>
      <c r="E34" s="373"/>
      <c r="F34" s="373"/>
      <c r="G34" s="373"/>
      <c r="H34" s="373"/>
      <c r="I34" s="373"/>
      <c r="J34" s="373"/>
      <c r="K34" s="373"/>
      <c r="L34" s="373"/>
      <c r="M34" s="373"/>
      <c r="N34" s="373"/>
      <c r="O34" s="373"/>
      <c r="P34" s="373"/>
      <c r="Q34" s="373"/>
      <c r="R34" s="373"/>
      <c r="S34" s="373"/>
      <c r="T34" s="373"/>
      <c r="U34" s="373"/>
      <c r="V34" s="373"/>
      <c r="W34" s="373"/>
      <c r="X34" s="374"/>
    </row>
    <row r="35" spans="2:24" x14ac:dyDescent="0.25">
      <c r="B35" s="132" t="s">
        <v>315</v>
      </c>
      <c r="C35" s="260"/>
      <c r="D35" s="375" t="s">
        <v>135</v>
      </c>
      <c r="E35" s="376">
        <f t="shared" ref="E35:X35" si="10">IF(ISNUMBER(E30+E29+E21+E20+E18+E17),E30+E29+E21+E20+E18+E17,"-")</f>
        <v>6476.0825864318213</v>
      </c>
      <c r="F35" s="376">
        <f t="shared" si="10"/>
        <v>5306.6761937377541</v>
      </c>
      <c r="G35" s="376" t="str">
        <f t="shared" si="10"/>
        <v>-</v>
      </c>
      <c r="H35" s="376">
        <f t="shared" si="10"/>
        <v>6172.4333846601448</v>
      </c>
      <c r="I35" s="376">
        <f t="shared" si="10"/>
        <v>6399.9674440222952</v>
      </c>
      <c r="J35" s="376" t="str">
        <f t="shared" si="10"/>
        <v>-</v>
      </c>
      <c r="K35" s="376">
        <f t="shared" si="10"/>
        <v>6476.0825864318213</v>
      </c>
      <c r="L35" s="376">
        <f t="shared" si="10"/>
        <v>6476.0825864318213</v>
      </c>
      <c r="M35" s="376" t="str">
        <f t="shared" si="10"/>
        <v>-</v>
      </c>
      <c r="N35" s="376" t="str">
        <f t="shared" si="10"/>
        <v>-</v>
      </c>
      <c r="O35" s="376" t="str">
        <f t="shared" si="10"/>
        <v>-</v>
      </c>
      <c r="P35" s="376" t="str">
        <f t="shared" si="10"/>
        <v>-</v>
      </c>
      <c r="Q35" s="376" t="str">
        <f t="shared" si="10"/>
        <v>-</v>
      </c>
      <c r="R35" s="376" t="str">
        <f t="shared" si="10"/>
        <v>-</v>
      </c>
      <c r="S35" s="376" t="str">
        <f t="shared" si="10"/>
        <v>-</v>
      </c>
      <c r="T35" s="376" t="str">
        <f t="shared" si="10"/>
        <v>-</v>
      </c>
      <c r="U35" s="376" t="str">
        <f t="shared" si="10"/>
        <v>-</v>
      </c>
      <c r="V35" s="376" t="str">
        <f t="shared" si="10"/>
        <v>-</v>
      </c>
      <c r="W35" s="376" t="str">
        <f t="shared" si="10"/>
        <v>-</v>
      </c>
      <c r="X35" s="377" t="str">
        <f t="shared" si="10"/>
        <v>-</v>
      </c>
    </row>
    <row r="36" spans="2:24" ht="12.6" customHeight="1" thickBot="1" x14ac:dyDescent="0.3">
      <c r="B36" s="378" t="s">
        <v>316</v>
      </c>
      <c r="C36" s="379"/>
      <c r="D36" s="380" t="s">
        <v>138</v>
      </c>
      <c r="E36" s="381">
        <f t="shared" ref="E36:X36" si="11">IF(ISNUMBER(E19+E13),(E19+E13),"-")</f>
        <v>54.204373087709627</v>
      </c>
      <c r="F36" s="381">
        <f t="shared" si="11"/>
        <v>35.521241384317499</v>
      </c>
      <c r="G36" s="381" t="str">
        <f t="shared" si="11"/>
        <v>-</v>
      </c>
      <c r="H36" s="381">
        <f t="shared" si="11"/>
        <v>206.87655240000004</v>
      </c>
      <c r="I36" s="381">
        <f t="shared" si="11"/>
        <v>138.49053875999999</v>
      </c>
      <c r="J36" s="381" t="str">
        <f t="shared" si="11"/>
        <v>-</v>
      </c>
      <c r="K36" s="381">
        <f t="shared" si="11"/>
        <v>51.410694720475178</v>
      </c>
      <c r="L36" s="381">
        <f t="shared" si="11"/>
        <v>55.264044192522704</v>
      </c>
      <c r="M36" s="381" t="str">
        <f t="shared" si="11"/>
        <v>-</v>
      </c>
      <c r="N36" s="381" t="str">
        <f t="shared" si="11"/>
        <v>-</v>
      </c>
      <c r="O36" s="381" t="str">
        <f t="shared" si="11"/>
        <v>-</v>
      </c>
      <c r="P36" s="381" t="str">
        <f t="shared" si="11"/>
        <v>-</v>
      </c>
      <c r="Q36" s="381" t="str">
        <f t="shared" si="11"/>
        <v>-</v>
      </c>
      <c r="R36" s="381" t="str">
        <f t="shared" si="11"/>
        <v>-</v>
      </c>
      <c r="S36" s="381" t="str">
        <f t="shared" si="11"/>
        <v>-</v>
      </c>
      <c r="T36" s="381" t="str">
        <f t="shared" si="11"/>
        <v>-</v>
      </c>
      <c r="U36" s="381" t="str">
        <f t="shared" si="11"/>
        <v>-</v>
      </c>
      <c r="V36" s="381" t="str">
        <f t="shared" si="11"/>
        <v>-</v>
      </c>
      <c r="W36" s="381" t="str">
        <f t="shared" si="11"/>
        <v>-</v>
      </c>
      <c r="X36" s="382" t="str">
        <f t="shared" si="11"/>
        <v>-</v>
      </c>
    </row>
    <row r="37" spans="2:24" x14ac:dyDescent="0.25">
      <c r="B37" s="383" t="s">
        <v>291</v>
      </c>
      <c r="C37" s="384"/>
      <c r="D37" s="157" t="s">
        <v>135</v>
      </c>
      <c r="E37" s="385">
        <f t="shared" ref="E37:X37" si="12">IF(ISNUMBER(E35+E36*E34),E35+E36*E34,"-")</f>
        <v>6476.0825864318213</v>
      </c>
      <c r="F37" s="385">
        <f t="shared" si="12"/>
        <v>5306.6761937377541</v>
      </c>
      <c r="G37" s="385" t="str">
        <f t="shared" si="12"/>
        <v>-</v>
      </c>
      <c r="H37" s="385">
        <f t="shared" si="12"/>
        <v>6172.4333846601448</v>
      </c>
      <c r="I37" s="385">
        <f t="shared" si="12"/>
        <v>6399.9674440222952</v>
      </c>
      <c r="J37" s="385" t="str">
        <f t="shared" si="12"/>
        <v>-</v>
      </c>
      <c r="K37" s="385">
        <f t="shared" si="12"/>
        <v>6476.0825864318213</v>
      </c>
      <c r="L37" s="385">
        <f t="shared" si="12"/>
        <v>6476.0825864318213</v>
      </c>
      <c r="M37" s="385" t="str">
        <f t="shared" si="12"/>
        <v>-</v>
      </c>
      <c r="N37" s="385" t="str">
        <f t="shared" si="12"/>
        <v>-</v>
      </c>
      <c r="O37" s="385" t="str">
        <f t="shared" si="12"/>
        <v>-</v>
      </c>
      <c r="P37" s="385" t="str">
        <f t="shared" si="12"/>
        <v>-</v>
      </c>
      <c r="Q37" s="385" t="str">
        <f t="shared" si="12"/>
        <v>-</v>
      </c>
      <c r="R37" s="385" t="str">
        <f t="shared" si="12"/>
        <v>-</v>
      </c>
      <c r="S37" s="385" t="str">
        <f t="shared" si="12"/>
        <v>-</v>
      </c>
      <c r="T37" s="385" t="str">
        <f t="shared" si="12"/>
        <v>-</v>
      </c>
      <c r="U37" s="385" t="str">
        <f t="shared" si="12"/>
        <v>-</v>
      </c>
      <c r="V37" s="385" t="str">
        <f t="shared" si="12"/>
        <v>-</v>
      </c>
      <c r="W37" s="385" t="str">
        <f t="shared" si="12"/>
        <v>-</v>
      </c>
      <c r="X37" s="386" t="str">
        <f t="shared" si="12"/>
        <v>-</v>
      </c>
    </row>
    <row r="38" spans="2:24" ht="13.8" thickBot="1" x14ac:dyDescent="0.3">
      <c r="B38" s="387" t="s">
        <v>314</v>
      </c>
      <c r="C38" s="388"/>
      <c r="D38" s="59" t="s">
        <v>138</v>
      </c>
      <c r="E38" s="381" t="str">
        <f t="shared" ref="E38:X38" si="13">IF(ISNUMBER(E37/E34),E37/E34,"-")</f>
        <v>-</v>
      </c>
      <c r="F38" s="381" t="str">
        <f t="shared" si="13"/>
        <v>-</v>
      </c>
      <c r="G38" s="381" t="str">
        <f t="shared" si="13"/>
        <v>-</v>
      </c>
      <c r="H38" s="381" t="str">
        <f t="shared" si="13"/>
        <v>-</v>
      </c>
      <c r="I38" s="381" t="str">
        <f t="shared" si="13"/>
        <v>-</v>
      </c>
      <c r="J38" s="381" t="str">
        <f t="shared" si="13"/>
        <v>-</v>
      </c>
      <c r="K38" s="381" t="str">
        <f t="shared" si="13"/>
        <v>-</v>
      </c>
      <c r="L38" s="381" t="str">
        <f t="shared" si="13"/>
        <v>-</v>
      </c>
      <c r="M38" s="381" t="str">
        <f t="shared" si="13"/>
        <v>-</v>
      </c>
      <c r="N38" s="381" t="str">
        <f t="shared" si="13"/>
        <v>-</v>
      </c>
      <c r="O38" s="381" t="str">
        <f t="shared" si="13"/>
        <v>-</v>
      </c>
      <c r="P38" s="381" t="str">
        <f t="shared" si="13"/>
        <v>-</v>
      </c>
      <c r="Q38" s="381" t="str">
        <f t="shared" si="13"/>
        <v>-</v>
      </c>
      <c r="R38" s="381" t="str">
        <f t="shared" si="13"/>
        <v>-</v>
      </c>
      <c r="S38" s="381" t="str">
        <f t="shared" si="13"/>
        <v>-</v>
      </c>
      <c r="T38" s="381" t="str">
        <f t="shared" si="13"/>
        <v>-</v>
      </c>
      <c r="U38" s="381" t="str">
        <f t="shared" si="13"/>
        <v>-</v>
      </c>
      <c r="V38" s="381" t="str">
        <f t="shared" si="13"/>
        <v>-</v>
      </c>
      <c r="W38" s="381" t="str">
        <f t="shared" si="13"/>
        <v>-</v>
      </c>
      <c r="X38" s="382" t="str">
        <f t="shared" si="13"/>
        <v>-</v>
      </c>
    </row>
    <row r="40" spans="2:24" x14ac:dyDescent="0.25"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</row>
    <row r="44" spans="2:24" x14ac:dyDescent="0.25">
      <c r="K44" s="308"/>
    </row>
  </sheetData>
  <sheetProtection password="9028" sheet="1" objects="1" scenarios="1"/>
  <mergeCells count="4">
    <mergeCell ref="B11:D11"/>
    <mergeCell ref="B16:D16"/>
    <mergeCell ref="B28:D28"/>
    <mergeCell ref="B33:D33"/>
  </mergeCells>
  <phoneticPr fontId="13" type="noConversion"/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/>
  <dimension ref="B2:AG38"/>
  <sheetViews>
    <sheetView showGridLines="0" zoomScaleNormal="100" workbookViewId="0">
      <selection activeCell="G37" sqref="G37"/>
    </sheetView>
  </sheetViews>
  <sheetFormatPr defaultColWidth="9.109375" defaultRowHeight="13.2" x14ac:dyDescent="0.25"/>
  <cols>
    <col min="1" max="1" width="2.44140625" style="5" customWidth="1"/>
    <col min="2" max="2" width="17.6640625" style="109" customWidth="1"/>
    <col min="3" max="3" width="15.6640625" style="389" customWidth="1"/>
    <col min="4" max="4" width="20.88671875" style="109" customWidth="1"/>
    <col min="5" max="5" width="15.6640625" style="109" customWidth="1"/>
    <col min="6" max="6" width="20.109375" style="109" bestFit="1" customWidth="1"/>
    <col min="7" max="12" width="15.6640625" style="109" customWidth="1"/>
    <col min="13" max="13" width="73.5546875" style="5" customWidth="1"/>
    <col min="14" max="16384" width="9.109375" style="5"/>
  </cols>
  <sheetData>
    <row r="2" spans="2:33" ht="13.8" thickBot="1" x14ac:dyDescent="0.3">
      <c r="B2" s="22" t="s">
        <v>248</v>
      </c>
    </row>
    <row r="3" spans="2:33" ht="25.5" customHeight="1" x14ac:dyDescent="0.25">
      <c r="B3" s="390" t="s">
        <v>33</v>
      </c>
      <c r="C3" s="391" t="s">
        <v>150</v>
      </c>
      <c r="D3" s="391" t="s">
        <v>192</v>
      </c>
      <c r="E3" s="391" t="s">
        <v>147</v>
      </c>
      <c r="F3" s="391" t="s">
        <v>4</v>
      </c>
      <c r="G3" s="391" t="s">
        <v>148</v>
      </c>
      <c r="H3" s="391" t="s">
        <v>149</v>
      </c>
      <c r="I3" s="391" t="s">
        <v>164</v>
      </c>
      <c r="J3" s="391" t="s">
        <v>158</v>
      </c>
      <c r="K3" s="391" t="s">
        <v>156</v>
      </c>
      <c r="L3" s="391" t="s">
        <v>86</v>
      </c>
      <c r="M3" s="392" t="s">
        <v>153</v>
      </c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  <c r="AB3" s="393"/>
      <c r="AC3" s="393"/>
      <c r="AD3" s="393"/>
      <c r="AE3" s="393"/>
      <c r="AF3" s="393"/>
      <c r="AG3" s="393"/>
    </row>
    <row r="4" spans="2:33" ht="13.8" thickBot="1" x14ac:dyDescent="0.3">
      <c r="B4" s="394"/>
      <c r="C4" s="395"/>
      <c r="D4" s="395"/>
      <c r="E4" s="395"/>
      <c r="F4" s="395"/>
      <c r="G4" s="395" t="s">
        <v>35</v>
      </c>
      <c r="H4" s="395" t="s">
        <v>139</v>
      </c>
      <c r="I4" s="395" t="s">
        <v>163</v>
      </c>
      <c r="J4" s="395" t="s">
        <v>159</v>
      </c>
      <c r="K4" s="395" t="s">
        <v>7</v>
      </c>
      <c r="L4" s="395" t="s">
        <v>9</v>
      </c>
      <c r="M4" s="396" t="s">
        <v>155</v>
      </c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  <c r="AB4" s="393"/>
      <c r="AC4" s="393"/>
      <c r="AD4" s="393"/>
      <c r="AE4" s="393"/>
      <c r="AF4" s="393"/>
      <c r="AG4" s="393"/>
    </row>
    <row r="5" spans="2:33" x14ac:dyDescent="0.25">
      <c r="B5" s="397" t="s">
        <v>151</v>
      </c>
      <c r="C5" s="398">
        <v>840</v>
      </c>
      <c r="D5" s="399" t="s">
        <v>144</v>
      </c>
      <c r="E5" s="399" t="s">
        <v>152</v>
      </c>
      <c r="F5" s="399" t="s">
        <v>124</v>
      </c>
      <c r="G5" s="400">
        <v>60.885256407360011</v>
      </c>
      <c r="H5" s="399">
        <v>120</v>
      </c>
      <c r="I5" s="399" t="s">
        <v>165</v>
      </c>
      <c r="J5" s="401">
        <v>25.5</v>
      </c>
      <c r="K5" s="400">
        <v>48.5</v>
      </c>
      <c r="L5" s="402">
        <v>90</v>
      </c>
      <c r="M5" s="403" t="s">
        <v>154</v>
      </c>
    </row>
    <row r="6" spans="2:33" x14ac:dyDescent="0.25">
      <c r="B6" s="404" t="s">
        <v>157</v>
      </c>
      <c r="C6" s="405">
        <v>844</v>
      </c>
      <c r="D6" s="406" t="s">
        <v>160</v>
      </c>
      <c r="E6" s="406" t="s">
        <v>152</v>
      </c>
      <c r="F6" s="406" t="s">
        <v>124</v>
      </c>
      <c r="G6" s="164">
        <v>83.025349646400016</v>
      </c>
      <c r="H6" s="406">
        <v>120</v>
      </c>
      <c r="I6" s="406" t="s">
        <v>162</v>
      </c>
      <c r="J6" s="407">
        <v>43.73</v>
      </c>
      <c r="K6" s="164">
        <v>84.4</v>
      </c>
      <c r="L6" s="408">
        <v>90</v>
      </c>
      <c r="M6" s="409" t="s">
        <v>161</v>
      </c>
    </row>
    <row r="7" spans="2:33" x14ac:dyDescent="0.25">
      <c r="B7" s="410" t="s">
        <v>166</v>
      </c>
      <c r="C7" s="411">
        <v>650</v>
      </c>
      <c r="D7" s="406" t="s">
        <v>186</v>
      </c>
      <c r="E7" s="406" t="s">
        <v>172</v>
      </c>
      <c r="F7" s="406" t="s">
        <v>125</v>
      </c>
      <c r="G7" s="164">
        <v>127.30553612448003</v>
      </c>
      <c r="H7" s="406">
        <v>160</v>
      </c>
      <c r="I7" s="406">
        <v>1360</v>
      </c>
      <c r="J7" s="407">
        <v>52.9</v>
      </c>
      <c r="K7" s="164">
        <v>106</v>
      </c>
      <c r="L7" s="408">
        <v>90</v>
      </c>
      <c r="M7" s="412" t="s">
        <v>203</v>
      </c>
    </row>
    <row r="8" spans="2:33" x14ac:dyDescent="0.25">
      <c r="B8" s="410" t="s">
        <v>167</v>
      </c>
      <c r="C8" s="405">
        <v>640</v>
      </c>
      <c r="D8" s="406" t="s">
        <v>186</v>
      </c>
      <c r="E8" s="406" t="s">
        <v>172</v>
      </c>
      <c r="F8" s="406" t="s">
        <v>125</v>
      </c>
      <c r="G8" s="164">
        <v>154.98065267328002</v>
      </c>
      <c r="H8" s="406">
        <v>160</v>
      </c>
      <c r="I8" s="406">
        <v>2040</v>
      </c>
      <c r="J8" s="407">
        <v>79.400000000000006</v>
      </c>
      <c r="K8" s="164">
        <v>160</v>
      </c>
      <c r="L8" s="408">
        <v>90</v>
      </c>
      <c r="M8" s="412" t="s">
        <v>202</v>
      </c>
    </row>
    <row r="9" spans="2:33" x14ac:dyDescent="0.25">
      <c r="B9" s="404" t="s">
        <v>168</v>
      </c>
      <c r="C9" s="411" t="s">
        <v>169</v>
      </c>
      <c r="D9" s="408" t="s">
        <v>195</v>
      </c>
      <c r="E9" s="406" t="s">
        <v>172</v>
      </c>
      <c r="F9" s="406" t="s">
        <v>125</v>
      </c>
      <c r="G9" s="164">
        <v>243.54102562944004</v>
      </c>
      <c r="H9" s="406">
        <v>140</v>
      </c>
      <c r="I9" s="406">
        <v>2000</v>
      </c>
      <c r="J9" s="407">
        <v>79.2</v>
      </c>
      <c r="K9" s="164">
        <v>155.4</v>
      </c>
      <c r="L9" s="408">
        <v>90</v>
      </c>
      <c r="M9" s="412" t="s">
        <v>201</v>
      </c>
    </row>
    <row r="10" spans="2:33" x14ac:dyDescent="0.25">
      <c r="B10" s="413" t="s">
        <v>194</v>
      </c>
      <c r="C10" s="405">
        <v>380</v>
      </c>
      <c r="D10" s="408" t="s">
        <v>195</v>
      </c>
      <c r="E10" s="406" t="s">
        <v>173</v>
      </c>
      <c r="F10" s="406" t="s">
        <v>125</v>
      </c>
      <c r="G10" s="164">
        <v>121.77051281472002</v>
      </c>
      <c r="H10" s="406">
        <v>200</v>
      </c>
      <c r="I10" s="406">
        <v>6400</v>
      </c>
      <c r="J10" s="407">
        <v>18</v>
      </c>
      <c r="K10" s="164">
        <v>88.2</v>
      </c>
      <c r="L10" s="408">
        <v>90</v>
      </c>
      <c r="M10" s="414" t="s">
        <v>187</v>
      </c>
    </row>
    <row r="11" spans="2:33" x14ac:dyDescent="0.25">
      <c r="B11" s="413" t="s">
        <v>196</v>
      </c>
      <c r="C11" s="405">
        <v>1216</v>
      </c>
      <c r="D11" s="408" t="s">
        <v>197</v>
      </c>
      <c r="E11" s="406" t="s">
        <v>173</v>
      </c>
      <c r="F11" s="406" t="s">
        <v>125</v>
      </c>
      <c r="G11" s="164">
        <v>121.77051281472002</v>
      </c>
      <c r="H11" s="406">
        <v>230</v>
      </c>
      <c r="I11" s="406">
        <v>6400</v>
      </c>
      <c r="J11" s="407">
        <v>19.579999999999998</v>
      </c>
      <c r="K11" s="164">
        <v>87</v>
      </c>
      <c r="L11" s="408">
        <v>90</v>
      </c>
      <c r="M11" s="414" t="s">
        <v>187</v>
      </c>
    </row>
    <row r="12" spans="2:33" x14ac:dyDescent="0.25">
      <c r="B12" s="404" t="s">
        <v>145</v>
      </c>
      <c r="C12" s="405">
        <v>383</v>
      </c>
      <c r="D12" s="408" t="s">
        <v>197</v>
      </c>
      <c r="E12" s="406" t="s">
        <v>173</v>
      </c>
      <c r="F12" s="406" t="s">
        <v>125</v>
      </c>
      <c r="G12" s="164">
        <v>121.77051281472002</v>
      </c>
      <c r="H12" s="406">
        <v>200</v>
      </c>
      <c r="I12" s="406">
        <v>6400</v>
      </c>
      <c r="J12" s="407">
        <v>18.98</v>
      </c>
      <c r="K12" s="164">
        <v>87</v>
      </c>
      <c r="L12" s="408">
        <v>90</v>
      </c>
      <c r="M12" s="414" t="s">
        <v>187</v>
      </c>
    </row>
    <row r="13" spans="2:33" x14ac:dyDescent="0.25">
      <c r="B13" s="404" t="s">
        <v>198</v>
      </c>
      <c r="C13" s="405" t="s">
        <v>199</v>
      </c>
      <c r="D13" s="408" t="s">
        <v>197</v>
      </c>
      <c r="E13" s="406" t="s">
        <v>170</v>
      </c>
      <c r="F13" s="406" t="s">
        <v>125</v>
      </c>
      <c r="G13" s="164">
        <v>852.39358970304011</v>
      </c>
      <c r="H13" s="406">
        <v>330</v>
      </c>
      <c r="I13" s="406">
        <v>8000</v>
      </c>
      <c r="J13" s="407">
        <v>200.84</v>
      </c>
      <c r="K13" s="164">
        <v>409</v>
      </c>
      <c r="L13" s="408">
        <v>100</v>
      </c>
      <c r="M13" s="412" t="s">
        <v>200</v>
      </c>
    </row>
    <row r="14" spans="2:33" x14ac:dyDescent="0.25">
      <c r="B14" s="404" t="s">
        <v>184</v>
      </c>
      <c r="C14" s="411" t="s">
        <v>174</v>
      </c>
      <c r="D14" s="406" t="s">
        <v>204</v>
      </c>
      <c r="E14" s="406" t="s">
        <v>171</v>
      </c>
      <c r="F14" s="406" t="s">
        <v>177</v>
      </c>
      <c r="G14" s="164">
        <v>60.885256407360011</v>
      </c>
      <c r="H14" s="406">
        <v>200</v>
      </c>
      <c r="I14" s="406" t="s">
        <v>177</v>
      </c>
      <c r="J14" s="407">
        <v>26.4</v>
      </c>
      <c r="K14" s="164">
        <v>47</v>
      </c>
      <c r="L14" s="408">
        <v>60</v>
      </c>
      <c r="M14" s="412" t="s">
        <v>268</v>
      </c>
    </row>
    <row r="15" spans="2:33" x14ac:dyDescent="0.25">
      <c r="B15" s="404" t="s">
        <v>185</v>
      </c>
      <c r="C15" s="411" t="s">
        <v>175</v>
      </c>
      <c r="D15" s="406" t="s">
        <v>204</v>
      </c>
      <c r="E15" s="406" t="s">
        <v>171</v>
      </c>
      <c r="F15" s="406" t="s">
        <v>177</v>
      </c>
      <c r="G15" s="164">
        <v>55.350233097600011</v>
      </c>
      <c r="H15" s="406">
        <v>200</v>
      </c>
      <c r="I15" s="406" t="s">
        <v>177</v>
      </c>
      <c r="J15" s="407">
        <v>26.4</v>
      </c>
      <c r="K15" s="164">
        <v>47</v>
      </c>
      <c r="L15" s="408">
        <v>60</v>
      </c>
      <c r="M15" s="412" t="s">
        <v>269</v>
      </c>
    </row>
    <row r="16" spans="2:33" x14ac:dyDescent="0.25">
      <c r="B16" s="404" t="s">
        <v>183</v>
      </c>
      <c r="C16" s="411" t="s">
        <v>176</v>
      </c>
      <c r="D16" s="406" t="s">
        <v>204</v>
      </c>
      <c r="E16" s="406" t="s">
        <v>171</v>
      </c>
      <c r="F16" s="406" t="s">
        <v>177</v>
      </c>
      <c r="G16" s="164">
        <v>71.955303026880017</v>
      </c>
      <c r="H16" s="406">
        <v>200</v>
      </c>
      <c r="I16" s="406" t="s">
        <v>177</v>
      </c>
      <c r="J16" s="407">
        <v>26.4</v>
      </c>
      <c r="K16" s="164">
        <v>49</v>
      </c>
      <c r="L16" s="408">
        <v>70</v>
      </c>
      <c r="M16" s="412" t="s">
        <v>182</v>
      </c>
    </row>
    <row r="17" spans="2:15" x14ac:dyDescent="0.25">
      <c r="B17" s="404" t="s">
        <v>179</v>
      </c>
      <c r="C17" s="408" t="s">
        <v>204</v>
      </c>
      <c r="D17" s="408" t="s">
        <v>204</v>
      </c>
      <c r="E17" s="406" t="s">
        <v>178</v>
      </c>
      <c r="F17" s="406" t="s">
        <v>177</v>
      </c>
      <c r="G17" s="164">
        <v>3.2103135196608004</v>
      </c>
      <c r="H17" s="406">
        <v>120</v>
      </c>
      <c r="I17" s="406" t="s">
        <v>177</v>
      </c>
      <c r="J17" s="407">
        <v>19.64</v>
      </c>
      <c r="K17" s="164">
        <v>20</v>
      </c>
      <c r="L17" s="408">
        <v>50</v>
      </c>
      <c r="M17" s="412" t="s">
        <v>191</v>
      </c>
    </row>
    <row r="18" spans="2:15" x14ac:dyDescent="0.25">
      <c r="B18" s="404" t="s">
        <v>180</v>
      </c>
      <c r="C18" s="408" t="s">
        <v>204</v>
      </c>
      <c r="D18" s="408" t="s">
        <v>204</v>
      </c>
      <c r="E18" s="406" t="s">
        <v>178</v>
      </c>
      <c r="F18" s="406" t="s">
        <v>177</v>
      </c>
      <c r="G18" s="164">
        <v>3.5424149182464006</v>
      </c>
      <c r="H18" s="406">
        <v>120</v>
      </c>
      <c r="I18" s="406" t="s">
        <v>177</v>
      </c>
      <c r="J18" s="407">
        <v>23.26</v>
      </c>
      <c r="K18" s="164">
        <v>26.5</v>
      </c>
      <c r="L18" s="408">
        <v>50</v>
      </c>
      <c r="M18" s="412" t="s">
        <v>274</v>
      </c>
    </row>
    <row r="19" spans="2:15" x14ac:dyDescent="0.25">
      <c r="B19" s="404" t="s">
        <v>190</v>
      </c>
      <c r="C19" s="408" t="s">
        <v>204</v>
      </c>
      <c r="D19" s="408" t="s">
        <v>204</v>
      </c>
      <c r="E19" s="406" t="s">
        <v>178</v>
      </c>
      <c r="F19" s="406" t="s">
        <v>177</v>
      </c>
      <c r="G19" s="164">
        <v>3.5424149182464006</v>
      </c>
      <c r="H19" s="406">
        <v>120</v>
      </c>
      <c r="I19" s="406" t="s">
        <v>177</v>
      </c>
      <c r="J19" s="407">
        <v>16.5</v>
      </c>
      <c r="K19" s="164">
        <v>25</v>
      </c>
      <c r="L19" s="408">
        <v>50</v>
      </c>
      <c r="M19" s="412" t="s">
        <v>275</v>
      </c>
    </row>
    <row r="20" spans="2:15" x14ac:dyDescent="0.25">
      <c r="B20" s="404" t="s">
        <v>270</v>
      </c>
      <c r="C20" s="411">
        <v>761</v>
      </c>
      <c r="D20" s="406" t="s">
        <v>197</v>
      </c>
      <c r="E20" s="406" t="s">
        <v>181</v>
      </c>
      <c r="F20" s="406" t="s">
        <v>124</v>
      </c>
      <c r="G20" s="415">
        <v>99.630419575680023</v>
      </c>
      <c r="H20" s="406">
        <v>140</v>
      </c>
      <c r="I20" s="406">
        <v>2000</v>
      </c>
      <c r="J20" s="407">
        <v>19.28</v>
      </c>
      <c r="K20" s="415">
        <v>80</v>
      </c>
      <c r="L20" s="406">
        <v>80</v>
      </c>
      <c r="M20" s="412" t="s">
        <v>188</v>
      </c>
    </row>
    <row r="21" spans="2:15" x14ac:dyDescent="0.25">
      <c r="B21" s="404" t="s">
        <v>271</v>
      </c>
      <c r="C21" s="411">
        <v>744</v>
      </c>
      <c r="D21" s="406" t="s">
        <v>193</v>
      </c>
      <c r="E21" s="406" t="s">
        <v>181</v>
      </c>
      <c r="F21" s="406" t="s">
        <v>124</v>
      </c>
      <c r="G21" s="415">
        <v>55.350233097600011</v>
      </c>
      <c r="H21" s="406">
        <v>100</v>
      </c>
      <c r="I21" s="406">
        <v>895</v>
      </c>
      <c r="J21" s="407">
        <v>16.399999999999999</v>
      </c>
      <c r="K21" s="415">
        <v>80</v>
      </c>
      <c r="L21" s="406">
        <v>80</v>
      </c>
      <c r="M21" s="412" t="s">
        <v>189</v>
      </c>
    </row>
    <row r="22" spans="2:15" x14ac:dyDescent="0.25">
      <c r="B22" s="404" t="s">
        <v>272</v>
      </c>
      <c r="C22" s="411" t="s">
        <v>287</v>
      </c>
      <c r="D22" s="406" t="s">
        <v>193</v>
      </c>
      <c r="E22" s="406" t="s">
        <v>181</v>
      </c>
      <c r="F22" s="406" t="s">
        <v>124</v>
      </c>
      <c r="G22" s="415">
        <v>33.210139858560005</v>
      </c>
      <c r="H22" s="406">
        <v>80</v>
      </c>
      <c r="I22" s="406">
        <v>392</v>
      </c>
      <c r="J22" s="407">
        <v>9.4499999999999993</v>
      </c>
      <c r="K22" s="415">
        <v>36</v>
      </c>
      <c r="L22" s="406">
        <v>80</v>
      </c>
      <c r="M22" s="412" t="s">
        <v>273</v>
      </c>
    </row>
    <row r="23" spans="2:15" x14ac:dyDescent="0.25">
      <c r="B23" s="404" t="s">
        <v>289</v>
      </c>
      <c r="C23" s="411" t="s">
        <v>288</v>
      </c>
      <c r="D23" s="406" t="s">
        <v>193</v>
      </c>
      <c r="E23" s="406" t="s">
        <v>181</v>
      </c>
      <c r="F23" s="406" t="s">
        <v>124</v>
      </c>
      <c r="G23" s="164">
        <v>33.210139858560005</v>
      </c>
      <c r="H23" s="406">
        <v>100</v>
      </c>
      <c r="I23" s="406">
        <v>1500</v>
      </c>
      <c r="J23" s="407">
        <v>16.66</v>
      </c>
      <c r="K23" s="164">
        <v>72</v>
      </c>
      <c r="L23" s="408">
        <v>80</v>
      </c>
      <c r="M23" s="412" t="s">
        <v>290</v>
      </c>
    </row>
    <row r="24" spans="2:15" x14ac:dyDescent="0.25">
      <c r="B24" s="404" t="s">
        <v>338</v>
      </c>
      <c r="C24" s="411">
        <v>4746</v>
      </c>
      <c r="D24" s="406" t="s">
        <v>197</v>
      </c>
      <c r="E24" s="406" t="s">
        <v>172</v>
      </c>
      <c r="F24" s="406" t="s">
        <v>125</v>
      </c>
      <c r="G24" s="164">
        <v>164.37620793497067</v>
      </c>
      <c r="H24" s="406">
        <v>160</v>
      </c>
      <c r="I24" s="406">
        <v>2600</v>
      </c>
      <c r="J24" s="407">
        <v>75.150000000000006</v>
      </c>
      <c r="K24" s="164">
        <v>145</v>
      </c>
      <c r="L24" s="408">
        <v>90</v>
      </c>
      <c r="M24" s="412" t="s">
        <v>324</v>
      </c>
      <c r="O24" s="13"/>
    </row>
    <row r="25" spans="2:15" x14ac:dyDescent="0.25">
      <c r="B25" s="404" t="s">
        <v>339</v>
      </c>
      <c r="C25" s="411">
        <v>4746</v>
      </c>
      <c r="D25" s="406" t="s">
        <v>197</v>
      </c>
      <c r="E25" s="406" t="s">
        <v>172</v>
      </c>
      <c r="F25" s="406" t="s">
        <v>333</v>
      </c>
      <c r="G25" s="164">
        <v>221.90788071221041</v>
      </c>
      <c r="H25" s="406" t="s">
        <v>332</v>
      </c>
      <c r="I25" s="406">
        <v>2600</v>
      </c>
      <c r="J25" s="407">
        <v>75.150000000000006</v>
      </c>
      <c r="K25" s="415">
        <v>159</v>
      </c>
      <c r="L25" s="408">
        <v>85</v>
      </c>
      <c r="M25" s="412" t="s">
        <v>340</v>
      </c>
    </row>
    <row r="26" spans="2:15" x14ac:dyDescent="0.25">
      <c r="B26" s="416"/>
      <c r="C26" s="417"/>
      <c r="D26" s="418"/>
      <c r="E26" s="418"/>
      <c r="F26" s="418"/>
      <c r="G26" s="419"/>
      <c r="H26" s="420"/>
      <c r="I26" s="420"/>
      <c r="J26" s="421"/>
      <c r="K26" s="419"/>
      <c r="L26" s="418"/>
      <c r="M26" s="422"/>
    </row>
    <row r="27" spans="2:15" x14ac:dyDescent="0.25">
      <c r="B27" s="416"/>
      <c r="C27" s="417"/>
      <c r="D27" s="418"/>
      <c r="E27" s="418"/>
      <c r="F27" s="418"/>
      <c r="G27" s="419"/>
      <c r="H27" s="420"/>
      <c r="I27" s="420"/>
      <c r="J27" s="421"/>
      <c r="K27" s="419"/>
      <c r="L27" s="418"/>
      <c r="M27" s="422"/>
    </row>
    <row r="28" spans="2:15" x14ac:dyDescent="0.25">
      <c r="B28" s="416"/>
      <c r="C28" s="417"/>
      <c r="D28" s="418"/>
      <c r="E28" s="418"/>
      <c r="F28" s="418"/>
      <c r="G28" s="419"/>
      <c r="H28" s="420"/>
      <c r="I28" s="420"/>
      <c r="J28" s="421"/>
      <c r="K28" s="419"/>
      <c r="L28" s="418"/>
      <c r="M28" s="422"/>
    </row>
    <row r="29" spans="2:15" x14ac:dyDescent="0.25">
      <c r="B29" s="416"/>
      <c r="C29" s="417"/>
      <c r="D29" s="418"/>
      <c r="E29" s="418"/>
      <c r="F29" s="418"/>
      <c r="G29" s="419"/>
      <c r="H29" s="420"/>
      <c r="I29" s="420"/>
      <c r="J29" s="421"/>
      <c r="K29" s="419"/>
      <c r="L29" s="418"/>
      <c r="M29" s="422"/>
    </row>
    <row r="30" spans="2:15" x14ac:dyDescent="0.25">
      <c r="B30" s="416"/>
      <c r="C30" s="417"/>
      <c r="D30" s="418"/>
      <c r="E30" s="418"/>
      <c r="F30" s="418"/>
      <c r="G30" s="419"/>
      <c r="H30" s="420"/>
      <c r="I30" s="420"/>
      <c r="J30" s="421"/>
      <c r="K30" s="419"/>
      <c r="L30" s="418"/>
      <c r="M30" s="422"/>
    </row>
    <row r="31" spans="2:15" x14ac:dyDescent="0.25">
      <c r="B31" s="416"/>
      <c r="C31" s="417"/>
      <c r="D31" s="418"/>
      <c r="E31" s="418"/>
      <c r="F31" s="418"/>
      <c r="G31" s="419"/>
      <c r="H31" s="420"/>
      <c r="I31" s="420"/>
      <c r="J31" s="421"/>
      <c r="K31" s="419"/>
      <c r="L31" s="418"/>
      <c r="M31" s="422"/>
    </row>
    <row r="32" spans="2:15" x14ac:dyDescent="0.25">
      <c r="B32" s="416"/>
      <c r="C32" s="417"/>
      <c r="D32" s="418"/>
      <c r="E32" s="418"/>
      <c r="F32" s="418"/>
      <c r="G32" s="419"/>
      <c r="H32" s="420"/>
      <c r="I32" s="420"/>
      <c r="J32" s="421"/>
      <c r="K32" s="419"/>
      <c r="L32" s="418"/>
      <c r="M32" s="422"/>
    </row>
    <row r="33" spans="2:13" x14ac:dyDescent="0.25">
      <c r="B33" s="416"/>
      <c r="C33" s="417"/>
      <c r="D33" s="418"/>
      <c r="E33" s="418"/>
      <c r="F33" s="418"/>
      <c r="G33" s="419"/>
      <c r="H33" s="420"/>
      <c r="I33" s="420"/>
      <c r="J33" s="421"/>
      <c r="K33" s="419"/>
      <c r="L33" s="418"/>
      <c r="M33" s="422"/>
    </row>
    <row r="34" spans="2:13" ht="13.8" thickBot="1" x14ac:dyDescent="0.3">
      <c r="B34" s="423"/>
      <c r="C34" s="424"/>
      <c r="D34" s="425"/>
      <c r="E34" s="425"/>
      <c r="F34" s="425"/>
      <c r="G34" s="426"/>
      <c r="H34" s="427"/>
      <c r="I34" s="427"/>
      <c r="J34" s="428"/>
      <c r="K34" s="426"/>
      <c r="L34" s="425"/>
      <c r="M34" s="429"/>
    </row>
    <row r="35" spans="2:13" ht="13.8" thickBot="1" x14ac:dyDescent="0.3">
      <c r="B35" s="518" t="s">
        <v>334</v>
      </c>
      <c r="C35" s="519"/>
      <c r="D35" s="519"/>
      <c r="E35" s="519"/>
      <c r="F35" s="519"/>
      <c r="G35" s="519"/>
      <c r="H35" s="519"/>
      <c r="I35" s="519"/>
      <c r="J35" s="519"/>
      <c r="K35" s="519"/>
      <c r="L35" s="519"/>
      <c r="M35" s="520"/>
    </row>
    <row r="37" spans="2:13" x14ac:dyDescent="0.25">
      <c r="F37" s="169"/>
    </row>
    <row r="38" spans="2:13" x14ac:dyDescent="0.25">
      <c r="F38" s="169"/>
    </row>
  </sheetData>
  <sheetProtection password="9028" sheet="1" objects="1" scenarios="1"/>
  <mergeCells count="1">
    <mergeCell ref="B35:M35"/>
  </mergeCells>
  <phoneticPr fontId="13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Úvodní list</vt:lpstr>
      <vt:lpstr>DATA</vt:lpstr>
      <vt:lpstr>Pořízení a provozuschopnost ŽKV</vt:lpstr>
      <vt:lpstr>Parametry jízdy vlaku</vt:lpstr>
      <vt:lpstr>Obsazení vlaku personálem</vt:lpstr>
      <vt:lpstr>SOUHRN PN VLAKŮ</vt:lpstr>
      <vt:lpstr>Katalog vozidel</vt:lpstr>
      <vt:lpstr>baterie</vt:lpstr>
      <vt:lpstr>cena_energie</vt:lpstr>
      <vt:lpstr>Druh_vlaku</vt:lpstr>
      <vt:lpstr>el.ss</vt:lpstr>
      <vt:lpstr>el.stř</vt:lpstr>
      <vt:lpstr>hybridni</vt:lpstr>
      <vt:lpstr>motorová</vt:lpstr>
      <vt:lpstr>Profese</vt:lpstr>
      <vt:lpstr>Rychlost</vt:lpstr>
      <vt:lpstr>Sklon</vt:lpstr>
      <vt:lpstr>Trakce</vt:lpstr>
      <vt:lpstr>vlak1</vt:lpstr>
      <vt:lpstr>Zastaveni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Vachtl; Kratochvíl Petr, Ing.</dc:creator>
  <cp:lastModifiedBy>Petr Pavlíček</cp:lastModifiedBy>
  <cp:lastPrinted>2017-01-29T14:48:09Z</cp:lastPrinted>
  <dcterms:created xsi:type="dcterms:W3CDTF">2016-11-14T19:05:28Z</dcterms:created>
  <dcterms:modified xsi:type="dcterms:W3CDTF">2023-11-19T00:32:28Z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</Properties>
</file>